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5DCBEB5D-957B-4927-8913-8A0C80D08255}" xr6:coauthVersionLast="47" xr6:coauthVersionMax="47" xr10:uidLastSave="{00000000-0000-0000-0000-000000000000}"/>
  <workbookProtection workbookAlgorithmName="SHA-512" workbookHashValue="6NuekSSx0Y/vft9ug5bwv1YPQNPhK2kXUwbQQX3UC1G1JnzZIt9AXALdO4Aw5XMCl5al+Tjw1p1mhV1wm/FM5g==" workbookSaltValue="xr+tHPAN4Wp8vRfy1NjYlw==" workbookSpinCount="100000" lockStructure="1"/>
  <bookViews>
    <workbookView xWindow="-23865" yWindow="2055" windowWidth="21600" windowHeight="11385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Test" sheetId="46" state="hidden" r:id="rId13"/>
    <sheet name="2ndOO" sheetId="11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'2ndNOO'!$C$2:$N$98</definedName>
    <definedName name="_xlnm.Print_Area" localSheetId="15">'2ndNOOTest'!$A$1:$M$137</definedName>
    <definedName name="_xlnm.Print_Area" localSheetId="13">'2ndOO'!$B$2:$P$76</definedName>
    <definedName name="_xlnm.Print_Area" localSheetId="12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H4" i="2"/>
  <c r="N25" i="5" l="1"/>
  <c r="S36" i="36"/>
  <c r="Q4" i="2" l="1"/>
  <c r="BI3" i="2"/>
  <c r="AE5" i="2" l="1"/>
  <c r="AI3" i="2"/>
  <c r="AM3" i="2"/>
  <c r="AL4" i="2"/>
  <c r="T27" i="12" l="1"/>
  <c r="T26" i="12"/>
  <c r="T22" i="12" l="1"/>
  <c r="T21" i="12"/>
  <c r="AU4" i="2" l="1"/>
  <c r="T30" i="2" l="1"/>
  <c r="T5" i="2"/>
  <c r="T21" i="2"/>
  <c r="T6" i="2"/>
  <c r="T29" i="2"/>
  <c r="T28" i="2"/>
  <c r="T25" i="2"/>
  <c r="T24" i="2"/>
  <c r="T23" i="2"/>
  <c r="T22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26" i="2"/>
  <c r="T27" i="2"/>
  <c r="AF5" i="2"/>
  <c r="W27" i="26" l="1"/>
  <c r="T31" i="12"/>
  <c r="T27" i="11"/>
  <c r="U27" i="17"/>
  <c r="U28" i="17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I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I5" i="2" l="1"/>
  <c r="C11" i="30" s="1"/>
  <c r="C15" i="41"/>
  <c r="D15" i="41"/>
  <c r="C10" i="30"/>
  <c r="B10" i="30"/>
  <c r="C9" i="30"/>
  <c r="B11" i="30" l="1"/>
  <c r="BI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I7" i="2" l="1"/>
  <c r="C17" i="41"/>
  <c r="D17" i="41"/>
  <c r="B12" i="30"/>
  <c r="C12" i="30"/>
  <c r="H9" i="29"/>
  <c r="S37" i="36" l="1"/>
  <c r="BI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I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I10" i="2" l="1"/>
  <c r="C20" i="41"/>
  <c r="D20" i="41"/>
  <c r="B15" i="30"/>
  <c r="C15" i="30"/>
  <c r="Q21" i="28"/>
  <c r="BI11" i="2" l="1"/>
  <c r="D21" i="41"/>
  <c r="C21" i="41"/>
  <c r="C16" i="30"/>
  <c r="B16" i="30"/>
  <c r="Q10" i="28"/>
  <c r="Q23" i="28" s="1"/>
  <c r="BI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T28" i="11" l="1"/>
  <c r="BI13" i="2"/>
  <c r="C23" i="41"/>
  <c r="D23" i="41"/>
  <c r="C18" i="30"/>
  <c r="B18" i="30"/>
  <c r="T23" i="12"/>
  <c r="T20" i="12"/>
  <c r="T18" i="12"/>
  <c r="BI14" i="2" l="1"/>
  <c r="D24" i="41"/>
  <c r="C24" i="41"/>
  <c r="B19" i="30"/>
  <c r="C19" i="30"/>
  <c r="W19" i="26"/>
  <c r="W17" i="26"/>
  <c r="W18" i="26"/>
  <c r="W16" i="26"/>
  <c r="BI15" i="2" l="1"/>
  <c r="D25" i="41"/>
  <c r="C25" i="41"/>
  <c r="B20" i="30"/>
  <c r="C20" i="30"/>
  <c r="BD4" i="2"/>
  <c r="BD5" i="2" s="1"/>
  <c r="BD6" i="2" s="1"/>
  <c r="BD7" i="2" s="1"/>
  <c r="BD8" i="2" s="1"/>
  <c r="BD9" i="2" s="1"/>
  <c r="BD10" i="2" s="1"/>
  <c r="BD11" i="2" s="1"/>
  <c r="BD12" i="2" s="1"/>
  <c r="BD13" i="2" s="1"/>
  <c r="BD14" i="2" s="1"/>
  <c r="BD15" i="2" s="1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AX5" i="2"/>
  <c r="AW5" i="2"/>
  <c r="AV5" i="2"/>
  <c r="AU5" i="2"/>
  <c r="AV6" i="2" l="1"/>
  <c r="BI16" i="2"/>
  <c r="D26" i="41"/>
  <c r="C26" i="41"/>
  <c r="C21" i="30"/>
  <c r="B21" i="30"/>
  <c r="AU6" i="2"/>
  <c r="AW6" i="2"/>
  <c r="AX6" i="2"/>
  <c r="AH4" i="2"/>
  <c r="AU7" i="2" l="1"/>
  <c r="AW7" i="2"/>
  <c r="AX7" i="2"/>
  <c r="BI17" i="2"/>
  <c r="C27" i="41"/>
  <c r="D27" i="41"/>
  <c r="C22" i="30"/>
  <c r="B22" i="30"/>
  <c r="AV7" i="2"/>
  <c r="AL5" i="2"/>
  <c r="B15" i="47"/>
  <c r="AH5" i="2"/>
  <c r="B15" i="46"/>
  <c r="BI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9" i="26"/>
  <c r="W26" i="26"/>
  <c r="AX9" i="2" l="1"/>
  <c r="BI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8" i="26"/>
  <c r="AU10" i="2" l="1"/>
  <c r="BI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S16" i="36" l="1"/>
  <c r="S39" i="36" s="1"/>
  <c r="AX11" i="2"/>
  <c r="AV11" i="2"/>
  <c r="AU11" i="2"/>
  <c r="AW11" i="2"/>
  <c r="BI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I22" i="2"/>
  <c r="D32" i="41"/>
  <c r="C32" i="41"/>
  <c r="C27" i="30"/>
  <c r="B27" i="30"/>
  <c r="AX12" i="2"/>
  <c r="AV12" i="2"/>
  <c r="AU12" i="2"/>
  <c r="AH10" i="2"/>
  <c r="B20" i="46"/>
  <c r="AL10" i="2"/>
  <c r="B20" i="47"/>
  <c r="BI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I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I25" i="2"/>
  <c r="D35" i="41"/>
  <c r="C35" i="41"/>
  <c r="C30" i="30"/>
  <c r="B30" i="30"/>
  <c r="AL13" i="2"/>
  <c r="B23" i="47"/>
  <c r="AH13" i="2"/>
  <c r="B23" i="46"/>
  <c r="AW16" i="2" l="1"/>
  <c r="BI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I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I28" i="2"/>
  <c r="D38" i="41"/>
  <c r="C38" i="41"/>
  <c r="C33" i="30"/>
  <c r="B33" i="30"/>
  <c r="AX18" i="2"/>
  <c r="AW18" i="2"/>
  <c r="AU18" i="2"/>
  <c r="AH16" i="2"/>
  <c r="B26" i="46"/>
  <c r="AL16" i="2"/>
  <c r="B26" i="47"/>
  <c r="AU19" i="2" l="1"/>
  <c r="BI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26" i="22" s="1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I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AW21" i="2" l="1"/>
  <c r="AU21" i="2"/>
  <c r="BI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I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I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I34" i="2"/>
  <c r="D44" i="41"/>
  <c r="C44" i="41"/>
  <c r="B39" i="30"/>
  <c r="C39" i="30"/>
  <c r="AV24" i="2"/>
  <c r="AX24" i="2"/>
  <c r="AH22" i="2"/>
  <c r="B32" i="46"/>
  <c r="AL22" i="2"/>
  <c r="B32" i="47"/>
  <c r="Q16" i="45"/>
  <c r="BI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1" i="26" s="1"/>
  <c r="AV26" i="2"/>
  <c r="AX26" i="2"/>
  <c r="AU26" i="2"/>
  <c r="AW26" i="2"/>
  <c r="BI36" i="2"/>
  <c r="D46" i="41"/>
  <c r="C46" i="41"/>
  <c r="C40" i="30"/>
  <c r="B40" i="30"/>
  <c r="AH24" i="2"/>
  <c r="B34" i="46"/>
  <c r="AL24" i="2"/>
  <c r="B34" i="47"/>
  <c r="T19" i="12"/>
  <c r="AW27" i="2" l="1"/>
  <c r="AU27" i="2"/>
  <c r="BI37" i="2"/>
  <c r="C47" i="41"/>
  <c r="D47" i="41"/>
  <c r="C41" i="30"/>
  <c r="B41" i="30"/>
  <c r="AV27" i="2"/>
  <c r="AX27" i="2"/>
  <c r="AL25" i="2"/>
  <c r="B35" i="47"/>
  <c r="AH25" i="2"/>
  <c r="B35" i="46"/>
  <c r="R20" i="20"/>
  <c r="R21" i="20" s="1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30" i="12"/>
  <c r="T29" i="12"/>
  <c r="T25" i="12"/>
  <c r="T24" i="12"/>
  <c r="T17" i="12"/>
  <c r="T16" i="12"/>
  <c r="T32" i="12" s="1"/>
  <c r="AV37" i="2" l="1"/>
  <c r="AW37" i="2"/>
  <c r="AU37" i="2"/>
  <c r="AX37" i="2"/>
  <c r="AL35" i="2"/>
  <c r="B45" i="47"/>
  <c r="AH35" i="2"/>
  <c r="B45" i="46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AW46" i="2" l="1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30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30" i="11" s="1"/>
  <c r="AI29" i="2"/>
  <c r="AM29" i="2"/>
  <c r="A30" i="5"/>
  <c r="B34" i="39"/>
  <c r="Y26" i="2"/>
  <c r="AM30" i="2" l="1"/>
  <c r="AI30" i="2"/>
  <c r="A31" i="5"/>
  <c r="B35" i="39"/>
  <c r="Y27" i="2"/>
  <c r="T13" i="12" l="1"/>
  <c r="T34" i="12" s="1"/>
  <c r="AI31" i="2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<sst xmlns="http://schemas.openxmlformats.org/spreadsheetml/2006/main" count="4654" uniqueCount="781">
  <si>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</si>
  <si>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</si>
  <si>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</si>
  <si>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</si>
  <si>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</si>
  <si>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</si>
  <si>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</si>
  <si>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</si>
  <si>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</si>
  <si>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</si>
  <si>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</si>
  <si>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</si>
  <si>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</si>
  <si>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</si>
  <si>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</si>
  <si>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</si>
  <si>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</si>
  <si>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</si>
  <si>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</si>
  <si>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</si>
  <si>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</si>
  <si>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</si>
  <si>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</si>
  <si>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</si>
  <si>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</si>
  <si>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</si>
  <si>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</si>
  <si>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</si>
  <si>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</si>
  <si>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</si>
  <si>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</si>
  <si>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</si>
  <si>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</si>
  <si>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</si>
  <si>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</si>
  <si>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</si>
  <si>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</si>
  <si>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</si>
  <si>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</si>
  <si>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</si>
  <si>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</si>
  <si>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</si>
  <si>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</si>
  <si>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</si>
  <si>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</si>
  <si>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</si>
  <si>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</si>
  <si>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</si>
  <si>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</si>
  <si>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</si>
  <si>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</si>
  <si>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</si>
  <si>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</si>
  <si>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</si>
  <si>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</si>
  <si>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</si>
  <si>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</si>
  <si>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</si>
  <si>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</si>
  <si>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</si>
  <si>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</si>
  <si>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</si>
  <si>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</si>
  <si>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</si>
  <si>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</si>
  <si>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</si>
  <si>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</si>
  <si>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</si>
  <si>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</si>
  <si>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</si>
  <si>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</si>
  <si>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</si>
  <si>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</si>
  <si>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</si>
  <si>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</si>
  <si>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</si>
  <si>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</si>
  <si>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</si>
  <si>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</si>
  <si>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</si>
  <si>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</si>
  <si>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</si>
  <si>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</si>
  <si>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</si>
  <si>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</si>
  <si>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</si>
  <si>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</si>
  <si>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</si>
  <si>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</si>
  <si>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</si>
  <si>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</si>
  <si>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</si>
  <si>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</si>
  <si>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</si>
  <si>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</si>
  <si>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</si>
  <si>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</si>
  <si>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</si>
  <si>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</si>
  <si>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</si>
  <si>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</si>
  <si>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</si>
  <si>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</si>
  <si>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</si>
  <si>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</si>
  <si>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</si>
  <si>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</si>
  <si>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</si>
  <si>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</si>
  <si>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</si>
  <si>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</si>
  <si>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</si>
  <si>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</si>
  <si>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</si>
  <si>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</si>
  <si>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</si>
  <si>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</si>
  <si>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</si>
  <si>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</si>
  <si>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</si>
  <si>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</si>
  <si>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</si>
  <si>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</si>
  <si>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</si>
  <si>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</si>
  <si>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</si>
  <si>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</si>
  <si>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</si>
  <si>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</si>
  <si>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</si>
  <si>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</si>
  <si>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</si>
  <si>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</si>
  <si>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</si>
  <si>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</si>
  <si>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</si>
  <si>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</si>
  <si>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</si>
  <si>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</si>
  <si>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</si>
  <si>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</si>
  <si>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</si>
  <si>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</si>
  <si>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</si>
  <si>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</si>
  <si>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</si>
  <si>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</si>
  <si>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</si>
  <si>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</si>
  <si>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</si>
  <si>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</si>
  <si>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</si>
  <si>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</si>
  <si>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</si>
  <si>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</si>
  <si>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</si>
  <si>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</si>
  <si>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</si>
  <si>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</si>
  <si>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</si>
  <si>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</si>
  <si>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</si>
  <si>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</si>
  <si>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</si>
  <si>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</si>
  <si>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</si>
  <si>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</si>
  <si>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</si>
  <si>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</si>
  <si>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</si>
  <si>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</si>
  <si>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</si>
  <si>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</si>
  <si>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</si>
  <si>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</si>
  <si>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</si>
  <si>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</si>
  <si>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</si>
  <si>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</si>
  <si>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</si>
  <si>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</si>
  <si>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</si>
  <si>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</si>
  <si>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</si>
  <si>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</si>
  <si>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</si>
  <si>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</si>
  <si>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</si>
  <si>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</si>
  <si>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</si>
  <si>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</si>
  <si>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</si>
  <si>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</si>
  <si>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</si>
  <si>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</si>
  <si>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</si>
  <si>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</si>
  <si>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</si>
  <si>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</si>
  <si>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</si>
  <si>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</si>
  <si>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</si>
  <si>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</si>
  <si>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</si>
  <si>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</si>
  <si>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</si>
  <si>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</si>
  <si>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</si>
  <si>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</si>
  <si>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</si>
  <si>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</si>
  <si>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</si>
  <si>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</si>
  <si>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</si>
  <si>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</si>
  <si>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</si>
  <si>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</si>
  <si>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</si>
  <si>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</si>
  <si>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</si>
  <si>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</si>
  <si>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</si>
  <si>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</si>
  <si>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</si>
  <si>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</si>
  <si>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</si>
  <si>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</si>
  <si>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</si>
  <si>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</si>
  <si>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</si>
  <si>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</si>
  <si>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</si>
  <si>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</si>
  <si>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</si>
  <si>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</si>
  <si>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</si>
  <si>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</si>
  <si>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</si>
  <si>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</si>
  <si>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</si>
  <si>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</si>
  <si>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</si>
  <si>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</si>
  <si>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</si>
  <si>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</si>
  <si>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</si>
  <si>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</si>
  <si>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</si>
  <si>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</si>
  <si>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</si>
  <si>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</si>
  <si>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</si>
  <si>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</si>
  <si>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7yr/10yr ARM Caps</t>
  </si>
  <si>
    <t>NONI 58</t>
  </si>
  <si>
    <t>AMC selection can be made at: https://www.thelender.com/appraisals/</t>
  </si>
  <si>
    <t>Underwriting Fee: $1,995</t>
  </si>
  <si>
    <t>OO</t>
  </si>
  <si>
    <t>NOO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</si>
  <si>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</si>
  <si>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</si>
  <si>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</si>
  <si>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</si>
  <si>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</si>
  <si>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</si>
  <si>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</si>
  <si>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</si>
  <si>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</si>
  <si>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</si>
  <si>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</si>
  <si>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</si>
  <si>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</si>
  <si>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</si>
  <si>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</si>
  <si>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</si>
  <si>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</si>
  <si>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</si>
  <si>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</si>
  <si>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</si>
  <si>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</si>
  <si>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</si>
  <si>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</si>
  <si>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</si>
  <si>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</si>
  <si>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</si>
  <si>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</si>
  <si>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</si>
  <si>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</si>
  <si>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</si>
  <si>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</si>
  <si>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</si>
  <si>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</si>
  <si>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</si>
  <si>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</si>
  <si>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</si>
  <si>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</si>
  <si>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</si>
  <si>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</si>
  <si>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</si>
  <si>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</si>
  <si>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</si>
  <si>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</si>
  <si>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</si>
  <si>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</si>
  <si>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</si>
  <si>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</si>
  <si>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</si>
  <si>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</si>
  <si>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</si>
  <si>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</si>
  <si>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</si>
  <si>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</si>
  <si>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</si>
  <si>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</si>
  <si>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</si>
  <si>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</si>
  <si>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</si>
  <si>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</si>
  <si>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</si>
  <si>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</si>
  <si>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</si>
  <si>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</si>
  <si>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</si>
  <si>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</si>
  <si>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</si>
  <si>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</si>
  <si>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</si>
  <si>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</si>
  <si>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</si>
  <si>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</si>
  <si>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</si>
  <si>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</si>
  <si>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</si>
  <si>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</si>
  <si>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</si>
  <si>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</si>
  <si>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</si>
  <si>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</si>
  <si>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</si>
  <si>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</si>
  <si>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</si>
  <si>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</si>
  <si>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</si>
  <si>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</si>
  <si>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</si>
  <si>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</si>
  <si>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</si>
  <si>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</si>
  <si>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</si>
  <si>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</si>
  <si>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</si>
  <si>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</si>
  <si>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</si>
  <si>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</si>
  <si>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</si>
  <si>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</si>
  <si>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</si>
  <si>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</si>
  <si>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</si>
  <si>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</si>
  <si>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</si>
  <si>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</si>
  <si>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</si>
  <si>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</si>
  <si>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</si>
  <si>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</si>
  <si>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</si>
  <si>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</si>
  <si>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</si>
  <si>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</si>
  <si>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</si>
  <si>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</si>
  <si>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</si>
  <si>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</si>
  <si>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</si>
  <si>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</si>
  <si>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</si>
  <si>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</si>
  <si>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</si>
  <si>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</si>
  <si>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</si>
  <si>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</si>
  <si>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</si>
  <si>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</si>
  <si>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</si>
  <si>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</si>
  <si>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</si>
  <si>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</si>
  <si>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</si>
  <si>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</si>
  <si>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</si>
  <si>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</si>
  <si>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</si>
  <si>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</si>
  <si>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</si>
  <si>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</si>
  <si>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</si>
  <si>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</si>
  <si>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</si>
  <si>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</si>
  <si>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</si>
  <si>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</si>
  <si>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</si>
  <si>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</si>
  <si>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</si>
  <si>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</si>
  <si>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</si>
  <si>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</si>
  <si>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</si>
  <si>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</si>
  <si>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</si>
  <si>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</si>
  <si>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</si>
  <si>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</si>
  <si>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</si>
  <si>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</si>
  <si>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</si>
  <si>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</si>
  <si>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</si>
  <si>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</si>
  <si>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</si>
  <si>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</si>
  <si>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</si>
  <si>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</si>
  <si>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</si>
  <si>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</si>
  <si>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</si>
  <si>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</si>
  <si>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</si>
  <si>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</si>
  <si>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</si>
  <si>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</si>
  <si>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</si>
  <si>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</si>
  <si>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</si>
  <si>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</si>
  <si>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</si>
  <si>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</si>
  <si>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</si>
  <si>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</si>
  <si>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</si>
  <si>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</si>
  <si>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</si>
  <si>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</si>
  <si>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</si>
  <si>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</si>
  <si>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</si>
  <si>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</si>
  <si>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</si>
  <si>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</si>
  <si>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</si>
  <si>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</si>
  <si>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</si>
  <si>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</si>
  <si>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</si>
  <si>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</si>
  <si>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</si>
  <si>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</si>
  <si>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</si>
  <si>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</si>
  <si>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</si>
  <si>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</si>
  <si>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</si>
  <si>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</si>
  <si>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</si>
  <si>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</si>
  <si>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</si>
  <si>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</si>
  <si>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</si>
  <si>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</si>
  <si>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</si>
  <si>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</si>
  <si>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</si>
  <si>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</si>
  <si>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</si>
  <si>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</si>
  <si>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</si>
  <si>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</si>
  <si>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</si>
  <si>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</si>
  <si>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</si>
  <si>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</si>
  <si>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</si>
  <si>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</si>
  <si>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</si>
  <si>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</si>
  <si>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</si>
  <si>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</si>
  <si>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</si>
  <si>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</si>
  <si>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</si>
  <si>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</si>
  <si>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</si>
  <si>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</si>
  <si>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</si>
  <si>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</si>
  <si>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</si>
  <si>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</si>
  <si>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</si>
  <si>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</si>
  <si>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</si>
  <si>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</si>
  <si>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</si>
  <si>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</si>
  <si>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</si>
  <si>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</si>
  <si>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</si>
  <si>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</si>
  <si>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</si>
  <si>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</si>
  <si>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</si>
  <si>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</si>
  <si>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</si>
  <si>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</si>
  <si>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</si>
  <si>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</si>
  <si>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</si>
  <si>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</si>
  <si>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</si>
  <si>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</si>
  <si>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</si>
  <si>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</si>
  <si>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</si>
  <si>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</si>
  <si>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</si>
  <si>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</si>
  <si>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</si>
  <si>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</si>
  <si>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</si>
  <si>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</si>
  <si>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</si>
  <si>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</si>
  <si>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</si>
  <si>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</si>
  <si>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</si>
  <si>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</si>
  <si>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</si>
  <si>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</si>
  <si>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</si>
  <si>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</si>
  <si>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</si>
  <si>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</si>
  <si>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</si>
  <si>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</si>
  <si>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</si>
  <si>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</si>
  <si>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</si>
  <si>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</si>
  <si>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</si>
  <si>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</si>
  <si>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</si>
  <si>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</si>
  <si>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</si>
  <si>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</si>
  <si>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5% Fixed PPP</t>
  </si>
  <si>
    <t>NONI58+ Pricer</t>
  </si>
  <si>
    <t xml:space="preserve">DSCR </t>
  </si>
  <si>
    <t>Prepay Min/Max Price</t>
  </si>
  <si>
    <t>Cash Out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</si>
  <si>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</si>
  <si>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</si>
  <si>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</si>
  <si>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</si>
  <si>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</si>
  <si>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</si>
  <si>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</si>
  <si>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</si>
  <si>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</si>
  <si>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</si>
  <si>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</si>
  <si>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</si>
  <si>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</si>
  <si>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</si>
  <si>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</si>
  <si>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</si>
  <si>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</si>
  <si>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</si>
  <si>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</si>
  <si>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</si>
  <si>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</si>
  <si>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</si>
  <si>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</si>
  <si>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</si>
  <si>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</si>
  <si>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</si>
  <si>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</si>
  <si>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</si>
  <si>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</si>
  <si>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</si>
  <si>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</si>
  <si>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</si>
  <si>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</si>
  <si>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</si>
  <si>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</si>
  <si>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</si>
  <si>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</si>
  <si>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</si>
  <si>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</si>
  <si>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</si>
  <si>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</si>
  <si>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</si>
  <si>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</si>
  <si>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</si>
  <si>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</si>
  <si>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</si>
  <si>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</si>
  <si>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</si>
  <si>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</si>
  <si>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</si>
  <si>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</si>
  <si>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</si>
  <si>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</si>
  <si>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</si>
  <si>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</si>
  <si>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</si>
  <si>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</si>
  <si>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</si>
  <si>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</si>
  <si>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</si>
  <si>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</si>
  <si>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</si>
  <si>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</si>
  <si>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</si>
  <si>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</si>
  <si>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</si>
  <si>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</si>
  <si>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</si>
  <si>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</si>
  <si>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</si>
  <si>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</si>
  <si>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</si>
  <si>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</si>
  <si>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</si>
  <si>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</si>
  <si>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</si>
  <si>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</si>
  <si>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</si>
  <si>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</si>
  <si>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</si>
  <si>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</si>
  <si>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</si>
  <si>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</si>
  <si>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</si>
  <si>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</si>
  <si>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</si>
  <si>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</si>
  <si>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</si>
  <si>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</si>
  <si>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</si>
  <si>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</si>
  <si>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</si>
  <si>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</si>
  <si>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</si>
  <si>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</si>
  <si>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</si>
  <si>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</si>
  <si>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</si>
  <si>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>50,000 - 100k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</si>
  <si>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</si>
  <si>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</si>
  <si>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</si>
  <si>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</si>
  <si>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</si>
  <si>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</si>
  <si>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</si>
  <si>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</si>
  <si>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</si>
  <si>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</si>
  <si>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</si>
  <si>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</si>
  <si>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</si>
  <si>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</si>
  <si>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</si>
  <si>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</si>
  <si>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</si>
  <si>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</si>
  <si>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</si>
  <si>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</si>
  <si>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</si>
  <si>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</si>
  <si>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</si>
  <si>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</si>
  <si>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</si>
  <si>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</si>
  <si>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</si>
  <si>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</si>
  <si>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</si>
  <si>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</si>
  <si>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</si>
  <si>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</si>
  <si>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</si>
  <si>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</si>
  <si>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</si>
  <si>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</si>
  <si>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</si>
  <si>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</si>
  <si>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</si>
  <si>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</si>
  <si>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</si>
  <si>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</si>
  <si>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</si>
  <si>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</si>
  <si>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</si>
  <si>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</si>
  <si>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</si>
  <si>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</si>
  <si>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</si>
  <si>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</si>
  <si>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</si>
  <si>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</si>
  <si>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</si>
  <si>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</si>
  <si>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</si>
  <si>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</si>
  <si>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</si>
  <si>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</si>
  <si>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</si>
  <si>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</si>
  <si>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</si>
  <si>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</si>
  <si>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</si>
  <si>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</si>
  <si>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</si>
  <si>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</si>
  <si>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</si>
  <si>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</si>
  <si>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 Max Loan Amount $1.25MM</t>
  </si>
  <si>
    <t>*Primary and 2nd Homes only</t>
  </si>
  <si>
    <t>2x30x24</t>
  </si>
  <si>
    <t xml:space="preserve">2) Prepayment penalties not allowed on loans vested to individuals </t>
  </si>
  <si>
    <t xml:space="preserve">     in NJ</t>
  </si>
  <si>
    <t xml:space="preserve">3) Prepayment penalties not allowed on loan amounts less </t>
  </si>
  <si>
    <t>1) Prepayment penalties for Investment property and are 6 months of interest option only.</t>
  </si>
  <si>
    <t>2) Prepayment penalties not allowed in AK, KS, MI, MN, NM, OH, and RI</t>
  </si>
  <si>
    <t>3) Prepayment penalties not allowed on loans vested to individuals in IL &amp; NJ</t>
  </si>
  <si>
    <t xml:space="preserve">3. PA - Loan amounts &lt; $329,411 cannot have a prepayment penalty </t>
  </si>
  <si>
    <t xml:space="preserve">     than $329,411 in PA</t>
  </si>
  <si>
    <t>4) Prepayment penalties not allowed on loan amounts less than $329,411 in PA</t>
  </si>
  <si>
    <t>PrePay Notes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</si>
  <si>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</si>
  <si>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</si>
  <si>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$329,411 in PA</t>
  </si>
  <si>
    <t>*Price Special</t>
  </si>
  <si>
    <t>*Loan Amount &gt;=100,000</t>
  </si>
  <si>
    <t>*Price Special                                   .500</t>
  </si>
  <si>
    <t>Loan Amount &gt;=100,000</t>
  </si>
  <si>
    <t>NC, ND, NE, NH, NJ, NM*, NV, NY*, OH*, OK, OR, PA, RI*, SC, SD, TN, TX, UT, VA, VT, WA, WI, WV, WY</t>
  </si>
  <si>
    <t>BK/SS/NOD/DIL &gt; 24 &lt; 36</t>
  </si>
  <si>
    <t>DSCR ≥1.50</t>
  </si>
  <si>
    <t>DSCR 1.25-1.49</t>
  </si>
  <si>
    <t>DSCR 1.10-1.24</t>
  </si>
  <si>
    <t>DSCR 1.00-1.09</t>
  </si>
  <si>
    <t>750,001-850k</t>
  </si>
  <si>
    <t>1yr Prepay</t>
  </si>
  <si>
    <t>2yr Prepay</t>
  </si>
  <si>
    <t>3yr Prepay</t>
  </si>
  <si>
    <t>4yr Prepay</t>
  </si>
  <si>
    <t>5yr Prepay</t>
  </si>
  <si>
    <t>Prepay Penalty - 5%</t>
  </si>
  <si>
    <t xml:space="preserve">Prepay Penalty: </t>
  </si>
  <si>
    <t>• 3%</t>
  </si>
  <si>
    <t>• 6 months interest</t>
  </si>
  <si>
    <t>• Declining</t>
  </si>
  <si>
    <t>No Prepay</t>
  </si>
  <si>
    <t>No Prepay States:</t>
  </si>
  <si>
    <t>Full Doc 1Yr</t>
  </si>
  <si>
    <t>Asset Depletion</t>
  </si>
  <si>
    <t>DSCR Ratio</t>
  </si>
  <si>
    <t>P&amp;L / WVOE/Asset Depletion</t>
  </si>
  <si>
    <t>No PPP State</t>
  </si>
  <si>
    <t>AK, DC, IL, KS, MD, MN, MS,</t>
  </si>
  <si>
    <t>NC, NJ, NM, OH, PA, RI, VA</t>
  </si>
  <si>
    <t>2.  Borrower Paid Comp Only</t>
  </si>
  <si>
    <t>1.  UW Fee $999; Doc Fee $599 (DSCR Only)</t>
  </si>
  <si>
    <t>*Bank Statement w/ CLTV ≤ 80 &amp; Loan Amt ≤ 1.25MM</t>
  </si>
  <si>
    <t>*Full Doc w/ CLTV ≤ 80 &amp; Loan Amt ≤ 1.25MM</t>
  </si>
  <si>
    <t>*Specials can be combined up to 50 bps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</si>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</sst>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5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2" fontId="169" fillId="0" borderId="0" xfId="14" applyNumberFormat="1" applyFont="1" applyAlignment="1">
      <alignment vertical="center" wrapText="1"/>
    </xf>
    <xf numFmtId="2" fontId="169" fillId="0" borderId="0" xfId="14" applyNumberFormat="1" applyFont="1" applyAlignment="1">
      <alignment vertical="center"/>
    </xf>
    <xf numFmtId="0" fontId="127" fillId="0" borderId="0" xfId="14" applyFont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4" fontId="8" fillId="0" borderId="0" xfId="0" applyNumberFormat="1" applyFont="1"/>
    <xf numFmtId="164" fontId="135" fillId="0" borderId="0" xfId="14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121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indent="3"/>
    </xf>
    <xf numFmtId="0" fontId="0" fillId="0" borderId="27" xfId="0" applyBorder="1" applyAlignment="1">
      <alignment vertical="center"/>
    </xf>
    <xf numFmtId="0" fontId="2" fillId="15" borderId="227" xfId="8" applyFont="1" applyFill="1" applyBorder="1"/>
    <xf numFmtId="0" fontId="80" fillId="13" borderId="228" xfId="6" applyBorder="1" applyAlignment="1" applyProtection="1">
      <alignment horizontal="center"/>
      <protection hidden="1"/>
    </xf>
    <xf numFmtId="164" fontId="5" fillId="0" borderId="0" xfId="0" applyNumberFormat="1" applyFont="1"/>
    <xf numFmtId="164" fontId="3" fillId="0" borderId="0" xfId="0" applyNumberFormat="1" applyFont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143" xfId="12" applyFont="1" applyBorder="1" applyAlignment="1" applyProtection="1">
      <alignment horizontal="left" vertical="center"/>
      <protection hidden="1"/>
    </xf>
    <xf numFmtId="172" fontId="21" fillId="0" borderId="142" xfId="12" applyNumberFormat="1" applyFont="1" applyBorder="1" applyAlignment="1" applyProtection="1">
      <alignment horizontal="center" vertical="center"/>
      <protection hidden="1"/>
    </xf>
    <xf numFmtId="172" fontId="21" fillId="0" borderId="141" xfId="12" applyNumberFormat="1" applyFont="1" applyBorder="1" applyAlignment="1" applyProtection="1">
      <alignment horizontal="center" vertical="center"/>
      <protection hidden="1"/>
    </xf>
    <xf numFmtId="171" fontId="21" fillId="0" borderId="140" xfId="12" applyNumberFormat="1" applyFont="1" applyBorder="1" applyAlignment="1" applyProtection="1">
      <alignment horizontal="center" vertical="center"/>
      <protection hidden="1"/>
    </xf>
    <xf numFmtId="171" fontId="21" fillId="0" borderId="135" xfId="0" quotePrefix="1" applyNumberFormat="1" applyFont="1" applyBorder="1" applyAlignment="1" applyProtection="1">
      <alignment horizontal="center" vertical="center"/>
      <protection hidden="1"/>
    </xf>
    <xf numFmtId="171" fontId="21" fillId="0" borderId="134" xfId="0" quotePrefix="1" applyNumberFormat="1" applyFont="1" applyBorder="1" applyAlignment="1" applyProtection="1">
      <alignment horizontal="center" vertical="center"/>
      <protection hidden="1"/>
    </xf>
    <xf numFmtId="171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232" xfId="0" quotePrefix="1" applyNumberFormat="1" applyFont="1" applyBorder="1" applyAlignment="1" applyProtection="1">
      <alignment horizontal="center" vertical="center"/>
      <protection hidden="1"/>
    </xf>
    <xf numFmtId="164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233" xfId="0" quotePrefix="1" applyNumberFormat="1" applyFont="1" applyBorder="1" applyAlignment="1" applyProtection="1">
      <alignment horizontal="center" vertical="center"/>
      <protection hidden="1"/>
    </xf>
    <xf numFmtId="164" fontId="21" fillId="0" borderId="229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applyNumberFormat="1" applyFont="1" applyBorder="1" applyAlignment="1" applyProtection="1">
      <alignment horizontal="left" vertical="center"/>
      <protection hidden="1"/>
    </xf>
    <xf numFmtId="173" fontId="106" fillId="0" borderId="229" xfId="0" quotePrefix="1" applyNumberFormat="1" applyFont="1" applyBorder="1" applyAlignment="1" applyProtection="1">
      <alignment horizontal="left" vertical="center"/>
      <protection hidden="1"/>
    </xf>
    <xf numFmtId="173" fontId="106" fillId="0" borderId="231" xfId="0" quotePrefix="1" applyNumberFormat="1" applyFont="1" applyBorder="1" applyAlignment="1" applyProtection="1">
      <alignment horizontal="left" vertical="center"/>
      <protection hidden="1"/>
    </xf>
    <xf numFmtId="0" fontId="21" fillId="0" borderId="230" xfId="12" applyFont="1" applyBorder="1" applyAlignment="1" applyProtection="1">
      <alignment horizontal="left" vertical="center"/>
      <protection hidden="1"/>
    </xf>
    <xf numFmtId="172" fontId="21" fillId="0" borderId="121" xfId="12" applyNumberFormat="1" applyFont="1" applyBorder="1" applyAlignment="1" applyProtection="1">
      <alignment horizontal="center" vertical="center"/>
      <protection hidden="1"/>
    </xf>
    <xf numFmtId="172" fontId="21" fillId="0" borderId="120" xfId="12" applyNumberFormat="1" applyFont="1" applyBorder="1" applyAlignment="1" applyProtection="1">
      <alignment horizontal="center" vertical="center"/>
      <protection hidden="1"/>
    </xf>
    <xf numFmtId="171" fontId="21" fillId="0" borderId="119" xfId="12" applyNumberFormat="1" applyFont="1" applyBorder="1" applyAlignment="1" applyProtection="1">
      <alignment horizontal="center" vertical="center"/>
      <protection hidden="1"/>
    </xf>
    <xf numFmtId="0" fontId="21" fillId="0" borderId="229" xfId="0" quotePrefix="1" applyFont="1" applyBorder="1" applyAlignment="1" applyProtection="1">
      <alignment horizontal="left" vertical="center"/>
      <protection hidden="1"/>
    </xf>
    <xf numFmtId="164" fontId="21" fillId="0" borderId="124" xfId="0" quotePrefix="1" applyNumberFormat="1" applyFont="1" applyBorder="1" applyAlignment="1" applyProtection="1">
      <alignment horizontal="center" vertical="center"/>
      <protection hidden="1"/>
    </xf>
    <xf numFmtId="164" fontId="21" fillId="0" borderId="123" xfId="0" quotePrefix="1" applyNumberFormat="1" applyFont="1" applyBorder="1" applyAlignment="1" applyProtection="1">
      <alignment horizontal="center" vertical="center"/>
      <protection hidden="1"/>
    </xf>
    <xf numFmtId="164" fontId="21" fillId="0" borderId="122" xfId="0" quotePrefix="1" applyNumberFormat="1" applyFont="1" applyBorder="1" applyAlignment="1" applyProtection="1">
      <alignment horizontal="center" vertical="center"/>
      <protection hidden="1"/>
    </xf>
    <xf numFmtId="0" fontId="21" fillId="0" borderId="162" xfId="0" quotePrefix="1" applyFont="1" applyBorder="1" applyAlignment="1" applyProtection="1">
      <alignment horizontal="left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0" fontId="21" fillId="0" borderId="231" xfId="0" quotePrefix="1" applyFont="1" applyBorder="1" applyAlignment="1" applyProtection="1">
      <alignment horizontal="left" vertical="center"/>
      <protection hidden="1"/>
    </xf>
    <xf numFmtId="164" fontId="21" fillId="0" borderId="121" xfId="0" quotePrefix="1" applyNumberFormat="1" applyFont="1" applyBorder="1" applyAlignment="1" applyProtection="1">
      <alignment horizontal="center" vertical="center"/>
      <protection hidden="1"/>
    </xf>
    <xf numFmtId="164" fontId="21" fillId="0" borderId="120" xfId="0" quotePrefix="1" applyNumberFormat="1" applyFont="1" applyBorder="1" applyAlignment="1" applyProtection="1">
      <alignment horizontal="center" vertical="center"/>
      <protection hidden="1"/>
    </xf>
    <xf numFmtId="164" fontId="21" fillId="0" borderId="119" xfId="0" quotePrefix="1" applyNumberFormat="1" applyFont="1" applyBorder="1" applyAlignment="1" applyProtection="1">
      <alignment horizontal="center" vertical="center"/>
      <protection hidden="1"/>
    </xf>
    <xf numFmtId="164" fontId="21" fillId="0" borderId="234" xfId="0" quotePrefix="1" applyNumberFormat="1" applyFont="1" applyBorder="1" applyAlignment="1" applyProtection="1">
      <alignment horizontal="left" vertical="center"/>
      <protection hidden="1"/>
    </xf>
    <xf numFmtId="164" fontId="21" fillId="0" borderId="231" xfId="0" quotePrefix="1" applyNumberFormat="1" applyFont="1" applyBorder="1" applyAlignment="1" applyProtection="1">
      <alignment horizontal="left" vertical="center"/>
      <protection hidden="1"/>
    </xf>
    <xf numFmtId="164" fontId="21" fillId="0" borderId="233" xfId="0" quotePrefix="1" applyNumberFormat="1" applyFont="1" applyBorder="1" applyAlignment="1" applyProtection="1">
      <alignment horizontal="center" vertical="center"/>
      <protection hidden="1"/>
    </xf>
    <xf numFmtId="9" fontId="107" fillId="0" borderId="26" xfId="1" applyFont="1" applyBorder="1" applyAlignment="1" applyProtection="1">
      <alignment horizontal="left" vertical="center"/>
      <protection hidden="1"/>
    </xf>
    <xf numFmtId="0" fontId="89" fillId="0" borderId="27" xfId="0" applyFont="1" applyBorder="1" applyAlignment="1">
      <alignment vertical="center"/>
    </xf>
    <xf numFmtId="164" fontId="21" fillId="0" borderId="2" xfId="0" quotePrefix="1" applyNumberFormat="1" applyFont="1" applyBorder="1" applyAlignment="1" applyProtection="1">
      <alignment horizontal="center" vertical="center"/>
      <protection hidden="1"/>
    </xf>
    <xf numFmtId="164" fontId="21" fillId="0" borderId="13" xfId="0" quotePrefix="1" applyNumberFormat="1" applyFont="1" applyBorder="1" applyAlignment="1" applyProtection="1">
      <alignment horizontal="center" vertical="center"/>
      <protection hidden="1"/>
    </xf>
    <xf numFmtId="164" fontId="21" fillId="0" borderId="3" xfId="0" quotePrefix="1" applyNumberFormat="1" applyFont="1" applyBorder="1" applyAlignment="1" applyProtection="1">
      <alignment horizontal="center" vertical="center"/>
      <protection hidden="1"/>
    </xf>
    <xf numFmtId="164" fontId="21" fillId="0" borderId="14" xfId="0" quotePrefix="1" applyNumberFormat="1" applyFont="1" applyBorder="1" applyAlignment="1" applyProtection="1">
      <alignment horizontal="center" vertical="center"/>
      <protection hidden="1"/>
    </xf>
    <xf numFmtId="164" fontId="21" fillId="0" borderId="0" xfId="0" quotePrefix="1" applyNumberFormat="1" applyFont="1" applyAlignment="1" applyProtection="1">
      <alignment horizontal="center" vertical="center"/>
      <protection hidden="1"/>
    </xf>
    <xf numFmtId="164" fontId="21" fillId="0" borderId="20" xfId="0" quotePrefix="1" applyNumberFormat="1" applyFont="1" applyBorder="1" applyAlignment="1" applyProtection="1">
      <alignment horizontal="center" vertical="center"/>
      <protection hidden="1"/>
    </xf>
    <xf numFmtId="0" fontId="89" fillId="0" borderId="15" xfId="0" applyFont="1" applyBorder="1"/>
    <xf numFmtId="0" fontId="89" fillId="0" borderId="16" xfId="0" applyFont="1" applyBorder="1"/>
    <xf numFmtId="0" fontId="89" fillId="0" borderId="16" xfId="0" applyFont="1" applyBorder="1" applyAlignment="1">
      <alignment vertical="center"/>
    </xf>
    <xf numFmtId="0" fontId="89" fillId="0" borderId="17" xfId="0" applyFont="1" applyBorder="1" applyAlignment="1">
      <alignment vertical="center"/>
    </xf>
    <xf numFmtId="0" fontId="79" fillId="15" borderId="147" xfId="8" applyFont="1" applyFill="1" applyBorder="1"/>
    <xf numFmtId="164" fontId="182" fillId="12" borderId="171" xfId="0" applyNumberFormat="1" applyFont="1" applyFill="1" applyBorder="1" applyAlignment="1">
      <alignment vertic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169" xfId="0" applyNumberFormat="1" applyBorder="1" applyAlignment="1">
      <alignment horizontal="center"/>
    </xf>
    <xf numFmtId="164" fontId="13" fillId="0" borderId="25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03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173" xfId="0" applyNumberFormat="1" applyBorder="1" applyAlignment="1">
      <alignment horizontal="center"/>
    </xf>
    <xf numFmtId="164" fontId="0" fillId="0" borderId="174" xfId="0" applyNumberFormat="1" applyBorder="1" applyAlignment="1">
      <alignment horizontal="center"/>
    </xf>
    <xf numFmtId="0" fontId="127" fillId="9" borderId="56" xfId="0" applyFont="1" applyFill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15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158" xfId="0" applyNumberFormat="1" applyBorder="1" applyAlignment="1">
      <alignment horizontal="center"/>
    </xf>
    <xf numFmtId="0" fontId="127" fillId="9" borderId="194" xfId="0" applyFont="1" applyFill="1" applyBorder="1" applyAlignment="1">
      <alignment vertical="center"/>
    </xf>
    <xf numFmtId="0" fontId="8" fillId="0" borderId="192" xfId="0" applyFont="1" applyBorder="1" applyAlignment="1">
      <alignment horizontal="center"/>
    </xf>
    <xf numFmtId="0" fontId="0" fillId="0" borderId="169" xfId="0" applyBorder="1" applyAlignment="1">
      <alignment horizontal="center"/>
    </xf>
    <xf numFmtId="0" fontId="0" fillId="0" borderId="173" xfId="0" applyBorder="1" applyAlignment="1">
      <alignment horizontal="center"/>
    </xf>
    <xf numFmtId="0" fontId="0" fillId="0" borderId="174" xfId="0" applyBorder="1" applyAlignment="1">
      <alignment horizontal="center"/>
    </xf>
    <xf numFmtId="0" fontId="4" fillId="0" borderId="0" xfId="0" applyFont="1" applyAlignment="1">
      <alignment horizontal="center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168" fillId="0" borderId="49" xfId="14" applyFont="1" applyBorder="1" applyAlignment="1">
      <alignment horizontal="center" vertical="center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42" xfId="14" applyFont="1" applyFill="1" applyBorder="1" applyAlignment="1">
      <alignment horizontal="center" vertical="center"/>
    </xf>
    <xf numFmtId="2" fontId="127" fillId="0" borderId="49" xfId="14" applyNumberFormat="1" applyFont="1" applyBorder="1" applyAlignment="1">
      <alignment horizontal="left" vertical="center" wrapText="1"/>
    </xf>
    <xf numFmtId="2" fontId="127" fillId="0" borderId="0" xfId="14" applyNumberFormat="1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37" fillId="15" borderId="198" xfId="14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21" fillId="0" borderId="25" xfId="0" quotePrefix="1" applyNumberFormat="1" applyFont="1" applyBorder="1" applyAlignment="1" applyProtection="1">
      <alignment horizontal="left" vertical="center"/>
      <protection hidden="1"/>
    </xf>
    <xf numFmtId="164" fontId="21" fillId="0" borderId="26" xfId="0" quotePrefix="1" applyNumberFormat="1" applyFont="1" applyBorder="1" applyAlignment="1" applyProtection="1">
      <alignment horizontal="left" vertical="center"/>
      <protection hidden="1"/>
    </xf>
    <xf numFmtId="164" fontId="21" fillId="0" borderId="27" xfId="0" quotePrefix="1" applyNumberFormat="1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7" fillId="0" borderId="25" xfId="0" quotePrefix="1" applyFont="1" applyBorder="1" applyAlignment="1" applyProtection="1">
      <alignment horizontal="left" vertical="top"/>
      <protection hidden="1"/>
    </xf>
    <xf numFmtId="0" fontId="107" fillId="0" borderId="26" xfId="0" quotePrefix="1" applyFont="1" applyBorder="1" applyAlignment="1" applyProtection="1">
      <alignment horizontal="left" vertical="top"/>
      <protection hidden="1"/>
    </xf>
    <xf numFmtId="0" fontId="107" fillId="0" borderId="27" xfId="0" quotePrefix="1" applyFont="1" applyBorder="1" applyAlignment="1" applyProtection="1">
      <alignment horizontal="left" vertical="top"/>
      <protection hidden="1"/>
    </xf>
    <xf numFmtId="2" fontId="107" fillId="0" borderId="25" xfId="0" applyNumberFormat="1" applyFont="1" applyBorder="1" applyAlignment="1" applyProtection="1">
      <alignment horizontal="left" vertical="top"/>
      <protection hidden="1"/>
    </xf>
    <xf numFmtId="2" fontId="107" fillId="0" borderId="26" xfId="0" applyNumberFormat="1" applyFont="1" applyBorder="1" applyAlignment="1" applyProtection="1">
      <alignment horizontal="left" vertical="top"/>
      <protection hidden="1"/>
    </xf>
    <xf numFmtId="2" fontId="107" fillId="0" borderId="27" xfId="0" applyNumberFormat="1" applyFont="1" applyBorder="1" applyAlignment="1" applyProtection="1">
      <alignment horizontal="left" vertical="top"/>
      <protection hidden="1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127" fillId="9" borderId="56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0" fontId="140" fillId="0" borderId="0" xfId="14" applyFont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2" fillId="0" borderId="0" xfId="14" applyFont="1" applyAlignment="1">
      <alignment horizontal="center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7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58</xdr:row>
      <xdr:rowOff>9526</xdr:rowOff>
    </xdr:from>
    <xdr:to>
      <xdr:col>14</xdr:col>
      <xdr:colOff>142874</xdr:colOff>
      <xdr:row>71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3EA91D-C27D-4430-8A84-25A76F83E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49" y="7334251"/>
          <a:ext cx="6638925" cy="26955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15</xdr:col>
      <xdr:colOff>0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ED59D-2093-48DC-AC9A-BE11B5371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7305675"/>
          <a:ext cx="6648450" cy="26857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15</xdr:col>
      <xdr:colOff>9525</xdr:colOff>
      <xdr:row>71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50BED-1DBC-4345-87DE-87C52831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7305675"/>
          <a:ext cx="6657975" cy="26860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57</xdr:row>
      <xdr:rowOff>123824</xdr:rowOff>
    </xdr:from>
    <xdr:to>
      <xdr:col>14</xdr:col>
      <xdr:colOff>142874</xdr:colOff>
      <xdr:row>71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356EBE-9469-4D04-B112-CCFB92114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4"/>
          <a:ext cx="6629399" cy="2714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zoomScaleNormal="130" workbookViewId="0">
      <selection activeCell="U64" sqref="U6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337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1228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672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330</v>
      </c>
      <c r="D28" s="1680"/>
      <c r="E28" s="1680"/>
      <c r="F28" s="1680"/>
      <c r="G28" s="342"/>
      <c r="H28" s="317"/>
      <c r="I28" s="1681" t="s">
        <v>678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576</v>
      </c>
      <c r="D29" s="345"/>
      <c r="E29" s="345"/>
      <c r="F29" s="115"/>
      <c r="G29" s="116" t="s">
        <v>171</v>
      </c>
      <c r="H29" s="317"/>
      <c r="I29" s="1681" t="s">
        <v>327</v>
      </c>
      <c r="J29" s="1682"/>
      <c r="K29" s="1682"/>
      <c r="L29" s="1682"/>
      <c r="M29" s="1682"/>
      <c r="N29" s="1682"/>
      <c r="O29" s="1683"/>
      <c r="P29" s="318"/>
      <c r="Q29" s="440"/>
    </row>
    <row r="30" spans="1:17" ht="9.9499999999999993" customHeight="1">
      <c r="A30" s="316"/>
      <c r="B30" s="351"/>
      <c r="C30" s="587" t="s">
        <v>649</v>
      </c>
      <c r="D30" s="345"/>
      <c r="E30" s="345"/>
      <c r="F30" s="115"/>
      <c r="G30" s="116" t="s">
        <v>172</v>
      </c>
      <c r="H30" s="317"/>
      <c r="I30" s="368"/>
      <c r="J30" s="1664"/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 t="s">
        <v>331</v>
      </c>
      <c r="D31" s="345"/>
      <c r="E31" s="345"/>
      <c r="F31" s="115"/>
      <c r="G31" s="116" t="s">
        <v>324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722</v>
      </c>
      <c r="D32" s="345"/>
      <c r="E32" s="345"/>
      <c r="F32" s="115"/>
      <c r="G32" s="116" t="s">
        <v>723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349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1467"/>
      <c r="C59" s="1468"/>
      <c r="D59" s="1468"/>
      <c r="E59" s="1468"/>
      <c r="F59" s="1468"/>
      <c r="G59" s="1468"/>
      <c r="H59" s="1468"/>
      <c r="I59" s="1468"/>
      <c r="J59" s="1468"/>
      <c r="K59" s="1468"/>
      <c r="L59" s="1468"/>
      <c r="M59" s="1468"/>
      <c r="N59" s="1468"/>
      <c r="O59" s="1469"/>
      <c r="P59" s="344"/>
    </row>
    <row r="60" spans="1:16" ht="9.9499999999999993" customHeight="1">
      <c r="A60" s="353"/>
      <c r="B60" s="1467"/>
      <c r="C60" s="1468"/>
      <c r="D60" s="1468"/>
      <c r="E60" s="1468"/>
      <c r="F60" s="1468"/>
      <c r="G60" s="1468"/>
      <c r="H60" s="1468"/>
      <c r="I60" s="1468"/>
      <c r="J60" s="1468"/>
      <c r="K60" s="1468"/>
      <c r="L60" s="1468"/>
      <c r="M60" s="1468"/>
      <c r="N60" s="1468"/>
      <c r="O60" s="1469"/>
      <c r="P60" s="344"/>
    </row>
    <row r="61" spans="1:16" ht="9.9499999999999993" customHeight="1">
      <c r="A61" s="353"/>
      <c r="B61" s="1470"/>
      <c r="C61" s="1657"/>
      <c r="D61" s="1657"/>
      <c r="E61" s="1657"/>
      <c r="F61" s="1657"/>
      <c r="G61" s="1657"/>
      <c r="H61" s="1657"/>
      <c r="I61" s="1657"/>
      <c r="J61" s="1657"/>
      <c r="K61" s="1657"/>
      <c r="L61" s="1657"/>
      <c r="M61" s="1657"/>
      <c r="N61" s="1657"/>
      <c r="O61" s="1471"/>
      <c r="P61" s="352"/>
    </row>
    <row r="62" spans="1:16" ht="9.9499999999999993" customHeight="1">
      <c r="A62" s="353"/>
      <c r="B62" s="1472"/>
      <c r="C62" s="1473"/>
      <c r="D62" s="1468"/>
      <c r="E62" s="1468"/>
      <c r="F62" s="1468"/>
      <c r="G62" s="1468"/>
      <c r="H62" s="1468"/>
      <c r="I62" s="1468"/>
      <c r="J62" s="1468"/>
      <c r="K62" s="1468"/>
      <c r="L62" s="1468"/>
      <c r="M62" s="1468"/>
      <c r="N62" s="1468"/>
      <c r="O62" s="1471"/>
      <c r="P62" s="352"/>
    </row>
    <row r="63" spans="1:16" ht="9.9499999999999993" customHeight="1">
      <c r="A63" s="353"/>
      <c r="B63" s="1472"/>
      <c r="C63" s="1473"/>
      <c r="D63" s="1468"/>
      <c r="E63" s="1468"/>
      <c r="F63" s="1468"/>
      <c r="G63" s="1468"/>
      <c r="H63" s="1468"/>
      <c r="I63" s="1468"/>
      <c r="J63" s="1468"/>
      <c r="K63" s="1468"/>
      <c r="L63" s="1468"/>
      <c r="M63" s="1468"/>
      <c r="N63" s="1468"/>
      <c r="O63" s="1471"/>
      <c r="P63" s="352"/>
    </row>
    <row r="64" spans="1:16" ht="9.9499999999999993" customHeight="1">
      <c r="A64" s="353"/>
      <c r="B64" s="1472"/>
      <c r="C64" s="1474"/>
      <c r="D64" s="1475"/>
      <c r="E64" s="1475"/>
      <c r="F64" s="1475"/>
      <c r="G64" s="1476"/>
      <c r="H64" s="1477"/>
      <c r="I64" s="1477"/>
      <c r="J64" s="1475"/>
      <c r="K64" s="1475"/>
      <c r="L64" s="1475"/>
      <c r="M64" s="1475"/>
      <c r="N64" s="1475"/>
      <c r="O64" s="1471"/>
      <c r="P64" s="344"/>
    </row>
    <row r="65" spans="1:16" ht="9.9499999999999993" customHeight="1">
      <c r="A65" s="353"/>
      <c r="B65" s="1472"/>
      <c r="C65" s="1475"/>
      <c r="D65" s="1475"/>
      <c r="E65" s="1475"/>
      <c r="F65" s="1475"/>
      <c r="G65" s="1477"/>
      <c r="H65" s="1477"/>
      <c r="I65" s="1477"/>
      <c r="J65" s="1475"/>
      <c r="K65" s="1475"/>
      <c r="L65" s="1475"/>
      <c r="M65" s="1475"/>
      <c r="N65" s="1475"/>
      <c r="O65" s="1471"/>
      <c r="P65" s="344"/>
    </row>
    <row r="66" spans="1:16" ht="9.9499999999999993" customHeight="1">
      <c r="A66" s="353"/>
      <c r="B66" s="1467"/>
      <c r="C66" s="1468"/>
      <c r="D66" s="1468"/>
      <c r="E66" s="1468"/>
      <c r="F66" s="1468"/>
      <c r="G66" s="1468"/>
      <c r="H66" s="1468"/>
      <c r="I66" s="1468"/>
      <c r="J66" s="1468"/>
      <c r="K66" s="1468"/>
      <c r="L66" s="1468"/>
      <c r="M66" s="1468"/>
      <c r="N66" s="1468"/>
      <c r="O66" s="1469"/>
      <c r="P66" s="344"/>
    </row>
    <row r="67" spans="1:16" ht="9.9499999999999993" customHeight="1">
      <c r="A67" s="353"/>
      <c r="B67" s="1467"/>
      <c r="C67" s="1468"/>
      <c r="D67" s="1468"/>
      <c r="E67" s="1468"/>
      <c r="F67" s="1468"/>
      <c r="G67" s="1468"/>
      <c r="H67" s="1468"/>
      <c r="I67" s="1468"/>
      <c r="J67" s="1468"/>
      <c r="K67" s="1468"/>
      <c r="L67" s="1468"/>
      <c r="M67" s="1468"/>
      <c r="N67" s="1468"/>
      <c r="O67" s="1469"/>
      <c r="P67" s="344"/>
    </row>
    <row r="68" spans="1:16" ht="12" customHeight="1">
      <c r="A68" s="353"/>
      <c r="B68" s="1467"/>
      <c r="C68" s="1468"/>
      <c r="D68" s="1468"/>
      <c r="E68" s="1468"/>
      <c r="F68" s="1468"/>
      <c r="G68" s="1468"/>
      <c r="H68" s="1468"/>
      <c r="I68" s="1468"/>
      <c r="J68" s="1468"/>
      <c r="K68" s="1468"/>
      <c r="L68" s="1468"/>
      <c r="M68" s="1468"/>
      <c r="N68" s="1468"/>
      <c r="O68" s="1469"/>
      <c r="P68" s="344"/>
    </row>
    <row r="69" spans="1:16" ht="12" customHeight="1">
      <c r="A69" s="354"/>
      <c r="B69" s="1467"/>
      <c r="C69" s="1468"/>
      <c r="D69" s="1468"/>
      <c r="E69" s="1468"/>
      <c r="F69" s="1468"/>
      <c r="G69" s="1468"/>
      <c r="H69" s="1468"/>
      <c r="I69" s="1468"/>
      <c r="J69" s="1468"/>
      <c r="K69" s="1468"/>
      <c r="L69" s="1468"/>
      <c r="M69" s="1468"/>
      <c r="N69" s="1468"/>
      <c r="O69" s="1469"/>
      <c r="P69" s="346"/>
    </row>
    <row r="70" spans="1:16" ht="9.9499999999999993" customHeight="1">
      <c r="A70" s="347"/>
      <c r="B70" s="1467"/>
      <c r="C70" s="1468"/>
      <c r="D70" s="1468"/>
      <c r="E70" s="1468"/>
      <c r="F70" s="1468"/>
      <c r="G70" s="1468"/>
      <c r="H70" s="1468"/>
      <c r="I70" s="1468"/>
      <c r="J70" s="1468"/>
      <c r="K70" s="1468"/>
      <c r="L70" s="1468"/>
      <c r="M70" s="1468"/>
      <c r="N70" s="1468"/>
      <c r="O70" s="1469"/>
      <c r="P70" s="347"/>
    </row>
    <row r="71" spans="1:16" ht="89.25" customHeight="1">
      <c r="A71" s="347"/>
      <c r="B71" s="1467"/>
      <c r="C71" s="1468"/>
      <c r="D71" s="1468"/>
      <c r="E71" s="1468"/>
      <c r="F71" s="1468"/>
      <c r="G71" s="1468"/>
      <c r="H71" s="1468"/>
      <c r="I71" s="1468"/>
      <c r="J71" s="1468"/>
      <c r="K71" s="1468"/>
      <c r="L71" s="1468"/>
      <c r="M71" s="1468"/>
      <c r="N71" s="1468"/>
      <c r="O71" s="1469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51" zoomScaleNormal="130" workbookViewId="0">
      <selection activeCell="S69" sqref="S6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341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1228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351</v>
      </c>
      <c r="J25" s="1674"/>
      <c r="K25" s="1674"/>
      <c r="L25" s="1674"/>
      <c r="M25" s="1674"/>
      <c r="N25" s="1674"/>
      <c r="O25" s="1874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87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335</v>
      </c>
      <c r="D28" s="1680"/>
      <c r="E28" s="1680"/>
      <c r="F28" s="1680"/>
      <c r="G28" s="342"/>
      <c r="H28" s="317"/>
      <c r="I28" s="1681"/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362</v>
      </c>
      <c r="D29" s="345"/>
      <c r="E29" s="345"/>
      <c r="F29" s="115"/>
      <c r="G29" s="116" t="s">
        <v>171</v>
      </c>
      <c r="H29" s="317"/>
      <c r="I29" s="1681" t="s">
        <v>350</v>
      </c>
      <c r="J29" s="1664"/>
      <c r="K29" s="1664"/>
      <c r="L29" s="1664"/>
      <c r="M29" s="1664"/>
      <c r="N29" s="1664"/>
      <c r="O29" s="1876"/>
      <c r="P29" s="318"/>
      <c r="Q29" s="440"/>
    </row>
    <row r="30" spans="1:17" ht="9.9499999999999993" customHeight="1">
      <c r="A30" s="316"/>
      <c r="B30" s="351"/>
      <c r="C30" s="587" t="s">
        <v>322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 t="s">
        <v>323</v>
      </c>
      <c r="D31" s="345"/>
      <c r="E31" s="345"/>
      <c r="F31" s="115"/>
      <c r="G31" s="116" t="s">
        <v>324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336</v>
      </c>
      <c r="D32" s="345"/>
      <c r="E32" s="345"/>
      <c r="F32" s="115"/>
      <c r="G32" s="116" t="s">
        <v>325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60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6" t="s">
        <v>361</v>
      </c>
      <c r="G40" s="1666"/>
      <c r="H40" s="1666"/>
      <c r="I40" s="1666"/>
      <c r="J40" s="1666"/>
      <c r="K40" s="1666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187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188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189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42" t="s">
        <v>299</v>
      </c>
      <c r="F46" s="1643"/>
      <c r="G46" s="1643"/>
      <c r="H46" s="1643"/>
      <c r="I46" s="1643"/>
      <c r="J46" s="1643"/>
      <c r="K46" s="1643"/>
      <c r="L46" s="1644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>
      <c r="A50" s="316"/>
      <c r="B50" s="1868" t="s">
        <v>365</v>
      </c>
      <c r="C50" s="1869"/>
      <c r="D50" s="1869"/>
      <c r="E50" s="1869"/>
      <c r="F50" s="1869"/>
      <c r="G50" s="1869"/>
      <c r="H50" s="1869"/>
      <c r="I50" s="1869"/>
      <c r="J50" s="1869"/>
      <c r="K50" s="1869"/>
      <c r="L50" s="1869"/>
      <c r="M50" s="1869"/>
      <c r="N50" s="1869"/>
      <c r="O50" s="1870"/>
      <c r="P50" s="318"/>
    </row>
    <row r="51" spans="1:16">
      <c r="A51" s="316"/>
      <c r="B51" s="1868"/>
      <c r="C51" s="1869"/>
      <c r="D51" s="1869"/>
      <c r="E51" s="1869"/>
      <c r="F51" s="1869"/>
      <c r="G51" s="1869"/>
      <c r="H51" s="1869"/>
      <c r="I51" s="1869"/>
      <c r="J51" s="1869"/>
      <c r="K51" s="1869"/>
      <c r="L51" s="1869"/>
      <c r="M51" s="1869"/>
      <c r="N51" s="1869"/>
      <c r="O51" s="1870"/>
      <c r="P51" s="318"/>
    </row>
    <row r="52" spans="1:16" ht="9.9499999999999993" customHeight="1">
      <c r="A52" s="316"/>
      <c r="B52" s="1868"/>
      <c r="C52" s="1869"/>
      <c r="D52" s="1869"/>
      <c r="E52" s="1869"/>
      <c r="F52" s="1869"/>
      <c r="G52" s="1869"/>
      <c r="H52" s="1869"/>
      <c r="I52" s="1869"/>
      <c r="J52" s="1869"/>
      <c r="K52" s="1869"/>
      <c r="L52" s="1869"/>
      <c r="M52" s="1869"/>
      <c r="N52" s="1869"/>
      <c r="O52" s="1870"/>
      <c r="P52" s="318"/>
    </row>
    <row r="53" spans="1:16" ht="9.9499999999999993" customHeight="1">
      <c r="A53" s="343"/>
      <c r="B53" s="1868"/>
      <c r="C53" s="1869"/>
      <c r="D53" s="1869"/>
      <c r="E53" s="1869"/>
      <c r="F53" s="1869"/>
      <c r="G53" s="1869"/>
      <c r="H53" s="1869"/>
      <c r="I53" s="1869"/>
      <c r="J53" s="1869"/>
      <c r="K53" s="1869"/>
      <c r="L53" s="1869"/>
      <c r="M53" s="1869"/>
      <c r="N53" s="1869"/>
      <c r="O53" s="1870"/>
      <c r="P53" s="344"/>
    </row>
    <row r="54" spans="1:16" ht="9.9499999999999993" customHeight="1">
      <c r="A54" s="343"/>
      <c r="B54" s="1868"/>
      <c r="C54" s="1869"/>
      <c r="D54" s="1869"/>
      <c r="E54" s="1869"/>
      <c r="F54" s="1869"/>
      <c r="G54" s="1869"/>
      <c r="H54" s="1869"/>
      <c r="I54" s="1869"/>
      <c r="J54" s="1869"/>
      <c r="K54" s="1869"/>
      <c r="L54" s="1869"/>
      <c r="M54" s="1869"/>
      <c r="N54" s="1869"/>
      <c r="O54" s="1870"/>
      <c r="P54" s="344"/>
    </row>
    <row r="55" spans="1:16" ht="9.9499999999999993" customHeight="1">
      <c r="A55" s="343"/>
      <c r="B55" s="1868"/>
      <c r="C55" s="1869"/>
      <c r="D55" s="1869"/>
      <c r="E55" s="1869"/>
      <c r="F55" s="1869"/>
      <c r="G55" s="1869"/>
      <c r="H55" s="1869"/>
      <c r="I55" s="1869"/>
      <c r="J55" s="1869"/>
      <c r="K55" s="1869"/>
      <c r="L55" s="1869"/>
      <c r="M55" s="1869"/>
      <c r="N55" s="1869"/>
      <c r="O55" s="1870"/>
      <c r="P55" s="344"/>
    </row>
    <row r="56" spans="1:16" ht="9.9499999999999993" customHeight="1">
      <c r="A56" s="343"/>
      <c r="B56" s="1871"/>
      <c r="C56" s="1872"/>
      <c r="D56" s="1872"/>
      <c r="E56" s="1872"/>
      <c r="F56" s="1872"/>
      <c r="G56" s="1872"/>
      <c r="H56" s="1872"/>
      <c r="I56" s="1872"/>
      <c r="J56" s="1872"/>
      <c r="K56" s="1872"/>
      <c r="L56" s="1872"/>
      <c r="M56" s="1872"/>
      <c r="N56" s="1872"/>
      <c r="O56" s="1873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zoomScaleNormal="100" workbookViewId="0">
      <selection activeCell="S69" sqref="S69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G1" s="1531"/>
      <c r="M1" s="1"/>
      <c r="N1" s="1"/>
      <c r="O1" s="1"/>
      <c r="P1" s="1"/>
    </row>
    <row r="2" spans="3:21">
      <c r="G2" s="1531"/>
      <c r="M2" s="1"/>
      <c r="N2" s="1"/>
      <c r="O2" s="1"/>
      <c r="P2" s="1"/>
    </row>
    <row r="3" spans="3:21" ht="21.4" customHeight="1">
      <c r="C3" s="2"/>
      <c r="G3" s="1531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G4" s="1531"/>
      <c r="H4" s="5"/>
      <c r="L4" s="6" t="s">
        <v>636</v>
      </c>
      <c r="O4" s="1"/>
      <c r="P4" s="1"/>
    </row>
    <row r="5" spans="3:21" ht="19.5">
      <c r="C5" s="9"/>
      <c r="G5" s="1531"/>
      <c r="H5" s="34"/>
      <c r="I5" s="34"/>
      <c r="J5" s="34"/>
      <c r="K5" s="34"/>
      <c r="L5" s="30" t="s">
        <v>1</v>
      </c>
      <c r="O5" s="1"/>
      <c r="P5" s="1"/>
    </row>
    <row r="6" spans="3:21" ht="15.75">
      <c r="C6" s="1891" t="s">
        <v>364</v>
      </c>
      <c r="D6" s="1891"/>
      <c r="E6" s="1891"/>
      <c r="F6" s="767"/>
      <c r="G6" s="1531"/>
      <c r="M6" s="1"/>
      <c r="O6" s="1"/>
      <c r="P6" s="1"/>
    </row>
    <row r="7" spans="3:21" ht="15.75" thickBot="1">
      <c r="C7" s="10" t="s">
        <v>3</v>
      </c>
      <c r="D7" s="765" t="s">
        <v>4</v>
      </c>
      <c r="E7" s="11" t="s">
        <v>5</v>
      </c>
      <c r="G7" s="527" t="s">
        <v>2</v>
      </c>
      <c r="H7" s="27"/>
      <c r="I7"/>
      <c r="J7" s="35" t="s">
        <v>303</v>
      </c>
      <c r="K7"/>
      <c r="L7"/>
      <c r="O7" s="1"/>
      <c r="P7" s="1"/>
    </row>
    <row r="8" spans="3:21" ht="15.75" thickBot="1">
      <c r="C8" s="113">
        <f>margins!AP3</f>
        <v>7.375</v>
      </c>
      <c r="D8" s="766">
        <v>99.673000000000002</v>
      </c>
      <c r="E8" s="114" t="s">
        <v>14</v>
      </c>
      <c r="F8" s="15"/>
      <c r="G8" s="12" t="s">
        <v>6</v>
      </c>
      <c r="H8" s="13">
        <v>100</v>
      </c>
      <c r="I8"/>
      <c r="J8" s="526" t="s">
        <v>342</v>
      </c>
      <c r="K8" s="525"/>
      <c r="L8" s="525"/>
      <c r="M8" s="525"/>
      <c r="N8" s="524"/>
      <c r="S8" s="424" t="s">
        <v>360</v>
      </c>
      <c r="T8" s="425"/>
      <c r="U8" s="1414">
        <v>46223.360254629632</v>
      </c>
    </row>
    <row r="9" spans="3:21" ht="15.75" thickBot="1">
      <c r="C9" s="113">
        <f>margins!AP4</f>
        <v>7.5</v>
      </c>
      <c r="D9" s="766">
        <v>100.122</v>
      </c>
      <c r="E9" s="114" t="s">
        <v>14</v>
      </c>
      <c r="F9" s="18"/>
      <c r="G9" s="16" t="s">
        <v>8</v>
      </c>
      <c r="H9" s="523">
        <v>0</v>
      </c>
      <c r="I9"/>
      <c r="J9" s="82" t="s">
        <v>343</v>
      </c>
      <c r="K9"/>
      <c r="L9"/>
      <c r="N9" s="522"/>
    </row>
    <row r="10" spans="3:21" ht="15.75" thickBot="1">
      <c r="C10" s="113">
        <f>margins!AP5</f>
        <v>7.625</v>
      </c>
      <c r="D10" s="766">
        <v>100.575</v>
      </c>
      <c r="E10" s="114" t="s">
        <v>14</v>
      </c>
      <c r="F10" s="18"/>
      <c r="G10" s="16" t="s">
        <v>10</v>
      </c>
      <c r="H10" s="639">
        <v>-0.375</v>
      </c>
      <c r="I10"/>
      <c r="J10" s="82" t="s">
        <v>302</v>
      </c>
      <c r="K10"/>
      <c r="L10"/>
      <c r="N10" s="522"/>
      <c r="P10" s="1"/>
      <c r="S10" s="441" t="s">
        <v>195</v>
      </c>
      <c r="T10" s="442" t="s">
        <v>196</v>
      </c>
      <c r="U10" s="442" t="s">
        <v>197</v>
      </c>
    </row>
    <row r="11" spans="3:21">
      <c r="C11" s="113">
        <f>margins!AP6</f>
        <v>7.75</v>
      </c>
      <c r="D11" s="766">
        <v>101.024</v>
      </c>
      <c r="E11" s="114">
        <v>99.673000000000002</v>
      </c>
      <c r="F11" s="18"/>
      <c r="G11" s="642"/>
      <c r="H11" s="643"/>
      <c r="I11"/>
      <c r="J11" s="521" t="s">
        <v>301</v>
      </c>
      <c r="K11" s="520"/>
      <c r="L11" s="520"/>
      <c r="M11" s="520"/>
      <c r="N11" s="519"/>
      <c r="P11" s="1"/>
      <c r="R11" s="1531"/>
    </row>
    <row r="12" spans="3:21" ht="15.75" thickBot="1">
      <c r="C12" s="113">
        <f>margins!AP7</f>
        <v>7.875</v>
      </c>
      <c r="D12" s="766">
        <v>101.477</v>
      </c>
      <c r="E12" s="114">
        <v>100.122</v>
      </c>
      <c r="F12" s="18"/>
      <c r="G12" s="640" t="s">
        <v>300</v>
      </c>
      <c r="H12" s="641"/>
      <c r="I12"/>
      <c r="P12" s="1"/>
      <c r="R12" s="1531"/>
    </row>
    <row r="13" spans="3:21">
      <c r="C13" s="113">
        <f>margins!AP8</f>
        <v>8</v>
      </c>
      <c r="D13" s="766">
        <v>102.029</v>
      </c>
      <c r="E13" s="114">
        <v>100.575</v>
      </c>
      <c r="F13" s="18"/>
      <c r="G13" s="31" t="s">
        <v>83</v>
      </c>
      <c r="H13" s="33">
        <v>-0.25</v>
      </c>
      <c r="I13"/>
      <c r="J13" s="1887" t="s">
        <v>742</v>
      </c>
      <c r="K13" s="1888"/>
      <c r="L13" s="1534"/>
      <c r="M13" s="1889">
        <v>0.5</v>
      </c>
      <c r="N13" s="1890"/>
      <c r="P13" s="1"/>
      <c r="R13" s="1531"/>
      <c r="S13" s="579" t="s">
        <v>5</v>
      </c>
      <c r="T13" s="431" t="s">
        <v>321</v>
      </c>
      <c r="U13" s="630"/>
    </row>
    <row r="14" spans="3:21">
      <c r="C14" s="113">
        <f>margins!AP9</f>
        <v>8.125</v>
      </c>
      <c r="D14" s="766">
        <v>102.47499999999999</v>
      </c>
      <c r="E14" s="114">
        <v>101.024</v>
      </c>
      <c r="F14" s="18"/>
      <c r="G14" s="31" t="s">
        <v>84</v>
      </c>
      <c r="H14" s="33">
        <v>-0.32500000000000001</v>
      </c>
      <c r="I14"/>
      <c r="J14" s="1537" t="s">
        <v>743</v>
      </c>
      <c r="K14" s="520"/>
      <c r="L14" s="520"/>
      <c r="M14" s="520"/>
      <c r="N14" s="519"/>
      <c r="P14" s="1"/>
      <c r="R14" s="1531"/>
      <c r="S14" s="581" t="s">
        <v>199</v>
      </c>
      <c r="T14" s="432">
        <v>8.875</v>
      </c>
      <c r="U14" s="436">
        <f>IF(T13="No",VLOOKUP(T14,$C$8:$E$54,2,FALSE),VLOOKUP(T14,$C$8:$E$54,3,FALSE))</f>
        <v>103.812</v>
      </c>
    </row>
    <row r="15" spans="3:21" ht="15" customHeight="1">
      <c r="C15" s="113">
        <f>margins!AP10</f>
        <v>8.25</v>
      </c>
      <c r="D15" s="766">
        <v>102.92100000000001</v>
      </c>
      <c r="E15" s="114">
        <v>101.477</v>
      </c>
      <c r="F15" s="18"/>
      <c r="G15" s="31" t="s">
        <v>85</v>
      </c>
      <c r="H15" s="33">
        <v>-0.55000000000000004</v>
      </c>
      <c r="I15"/>
      <c r="J15"/>
      <c r="K15"/>
      <c r="L15"/>
      <c r="R15" s="1531"/>
      <c r="S15" s="581" t="s">
        <v>353</v>
      </c>
      <c r="T15" s="432" t="s">
        <v>19</v>
      </c>
      <c r="U15" s="436"/>
    </row>
    <row r="16" spans="3:21" ht="15" customHeight="1">
      <c r="C16" s="113">
        <f>margins!AP11</f>
        <v>8.375</v>
      </c>
      <c r="D16" s="766">
        <v>103.367</v>
      </c>
      <c r="E16" s="114">
        <v>102.029</v>
      </c>
      <c r="F16" s="18"/>
      <c r="G16" s="31" t="s">
        <v>86</v>
      </c>
      <c r="H16" s="33">
        <v>-0.65</v>
      </c>
      <c r="J16"/>
      <c r="K16"/>
      <c r="L16"/>
      <c r="R16" s="1531"/>
      <c r="S16" s="581" t="s">
        <v>449</v>
      </c>
      <c r="T16" s="432" t="s">
        <v>191</v>
      </c>
      <c r="U16" s="436">
        <f>IF(T16="Choose a Selection",0,(INDEX($I$21:$Q$27,MATCH(T16,$H$21:$H$27,0),MATCH($T$15,$I$20:$Q$20,0),1)))</f>
        <v>0</v>
      </c>
    </row>
    <row r="17" spans="3:21" ht="15" customHeight="1">
      <c r="C17" s="113">
        <f>margins!AP12</f>
        <v>8.5</v>
      </c>
      <c r="D17" s="766">
        <v>103.812</v>
      </c>
      <c r="E17" s="114">
        <v>102.47499999999999</v>
      </c>
      <c r="F17" s="18"/>
      <c r="G17" s="516" t="s">
        <v>299</v>
      </c>
      <c r="H17" s="32"/>
      <c r="J17"/>
      <c r="K17"/>
      <c r="L17"/>
      <c r="R17" s="1531"/>
      <c r="S17" s="581" t="s">
        <v>450</v>
      </c>
      <c r="T17" s="432" t="s">
        <v>191</v>
      </c>
      <c r="U17" s="436">
        <f>IF(T17="Choose a Selection",0,(INDEX($I$21:$Q$55,MATCH(T17,$H$21:$H$55,0),MATCH($T$15,$I$20:$Q$20,0),1)))</f>
        <v>0</v>
      </c>
    </row>
    <row r="18" spans="3:21" ht="15" customHeight="1">
      <c r="C18" s="113">
        <f>margins!AP13</f>
        <v>8.625</v>
      </c>
      <c r="D18" s="766">
        <v>104.185</v>
      </c>
      <c r="E18" s="114">
        <v>102.92100000000001</v>
      </c>
      <c r="F18" s="18"/>
      <c r="J18"/>
      <c r="K18"/>
      <c r="L18"/>
      <c r="R18" s="1531"/>
      <c r="S18" s="581" t="s">
        <v>451</v>
      </c>
      <c r="T18" s="432" t="s">
        <v>191</v>
      </c>
      <c r="U18" s="436">
        <f>IF(T18="Choose a Selection",0,(INDEX($I$29:$Q$35,MATCH(T18,$H$29:$H$35,0),MATCH($T$15,$I$20:$Q$20,0),1)))</f>
        <v>0</v>
      </c>
    </row>
    <row r="19" spans="3:21" ht="15" customHeight="1">
      <c r="C19" s="113">
        <f>margins!AP14</f>
        <v>8.75</v>
      </c>
      <c r="D19" s="766">
        <v>104.55800000000001</v>
      </c>
      <c r="E19" s="114">
        <v>103.367</v>
      </c>
      <c r="F19" s="18"/>
      <c r="G19" s="1879" t="s">
        <v>216</v>
      </c>
      <c r="H19" s="1880"/>
      <c r="I19" s="1881" t="s">
        <v>298</v>
      </c>
      <c r="J19" s="1882"/>
      <c r="K19" s="1882"/>
      <c r="L19" s="1882"/>
      <c r="M19" s="1882"/>
      <c r="N19" s="1882"/>
      <c r="O19" s="1882"/>
      <c r="P19" s="1882"/>
      <c r="Q19" s="1883"/>
      <c r="R19" s="1531"/>
      <c r="S19" s="581" t="s">
        <v>452</v>
      </c>
      <c r="T19" s="432" t="s">
        <v>191</v>
      </c>
      <c r="U19" s="436">
        <f t="shared" ref="U19:U24" si="0">IF(T19="Choose a Selection",0,(INDEX($I$21:$Q$55,MATCH(T19,$H$21:$H$55,0),MATCH($T$15,$I$20:$Q$20,0),1)))</f>
        <v>0</v>
      </c>
    </row>
    <row r="20" spans="3:21" ht="15" customHeight="1">
      <c r="C20" s="113">
        <f>margins!AP15</f>
        <v>8.875</v>
      </c>
      <c r="D20" s="766">
        <v>104.93300000000001</v>
      </c>
      <c r="E20" s="114">
        <v>103.812</v>
      </c>
      <c r="F20" s="18"/>
      <c r="G20" s="92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55" t="s">
        <v>23</v>
      </c>
      <c r="R20" s="1531"/>
      <c r="S20" s="581" t="s">
        <v>198</v>
      </c>
      <c r="T20" s="432" t="s">
        <v>191</v>
      </c>
      <c r="U20" s="436">
        <f t="shared" si="0"/>
        <v>0</v>
      </c>
    </row>
    <row r="21" spans="3:21" ht="15" customHeight="1">
      <c r="C21" s="113">
        <f>margins!AP16</f>
        <v>9</v>
      </c>
      <c r="D21" s="766">
        <v>105.30800000000001</v>
      </c>
      <c r="E21" s="114">
        <v>104.185</v>
      </c>
      <c r="F21" s="18"/>
      <c r="G21" s="1884" t="s">
        <v>190</v>
      </c>
      <c r="H21" s="661" t="s">
        <v>377</v>
      </c>
      <c r="I21" s="490">
        <v>3</v>
      </c>
      <c r="J21" s="480">
        <v>2.875</v>
      </c>
      <c r="K21" s="508">
        <v>2.875</v>
      </c>
      <c r="L21" s="508">
        <v>2.75</v>
      </c>
      <c r="M21" s="508">
        <v>2.5</v>
      </c>
      <c r="N21" s="508">
        <v>2</v>
      </c>
      <c r="O21" s="508">
        <v>0.875</v>
      </c>
      <c r="P21" s="508">
        <v>-2</v>
      </c>
      <c r="Q21" s="507">
        <v>-3.5</v>
      </c>
      <c r="R21" s="1531"/>
      <c r="S21" s="581" t="s">
        <v>279</v>
      </c>
      <c r="T21" s="432" t="s">
        <v>191</v>
      </c>
      <c r="U21" s="436">
        <f t="shared" si="0"/>
        <v>0</v>
      </c>
    </row>
    <row r="22" spans="3:21" ht="15" customHeight="1">
      <c r="C22" s="113">
        <f>margins!AP17</f>
        <v>9.125</v>
      </c>
      <c r="D22" s="766">
        <v>105.68300000000001</v>
      </c>
      <c r="E22" s="114">
        <v>104.55800000000001</v>
      </c>
      <c r="F22" s="18"/>
      <c r="G22" s="1885"/>
      <c r="H22" s="656" t="s">
        <v>294</v>
      </c>
      <c r="I22" s="657">
        <v>3</v>
      </c>
      <c r="J22" s="658">
        <v>2.875</v>
      </c>
      <c r="K22" s="659">
        <v>2.875</v>
      </c>
      <c r="L22" s="659">
        <v>2.625</v>
      </c>
      <c r="M22" s="659">
        <v>2.25</v>
      </c>
      <c r="N22" s="659">
        <v>1.375</v>
      </c>
      <c r="O22" s="659">
        <v>0.5</v>
      </c>
      <c r="P22" s="659">
        <v>-2.875</v>
      </c>
      <c r="Q22" s="660">
        <v>-4.5</v>
      </c>
      <c r="R22" s="1531"/>
      <c r="S22" s="581" t="s">
        <v>60</v>
      </c>
      <c r="T22" s="432" t="s">
        <v>191</v>
      </c>
      <c r="U22" s="436">
        <f t="shared" si="0"/>
        <v>0</v>
      </c>
    </row>
    <row r="23" spans="3:21" ht="15" customHeight="1">
      <c r="C23" s="113">
        <f>margins!AP18</f>
        <v>9.25</v>
      </c>
      <c r="D23" s="766">
        <v>106.057</v>
      </c>
      <c r="E23" s="114">
        <v>104.93300000000001</v>
      </c>
      <c r="F23" s="18"/>
      <c r="G23" s="1885"/>
      <c r="H23" s="503" t="s">
        <v>293</v>
      </c>
      <c r="I23" s="488">
        <v>2</v>
      </c>
      <c r="J23" s="487">
        <v>1.875</v>
      </c>
      <c r="K23" s="501">
        <v>1.875</v>
      </c>
      <c r="L23" s="501">
        <v>1.375</v>
      </c>
      <c r="M23" s="501">
        <v>1</v>
      </c>
      <c r="N23" s="501">
        <v>0.75</v>
      </c>
      <c r="O23" s="501">
        <v>-0.5</v>
      </c>
      <c r="P23" s="501">
        <v>-4</v>
      </c>
      <c r="Q23" s="505">
        <v>-6.5</v>
      </c>
      <c r="R23" s="1531"/>
      <c r="S23" s="581" t="s">
        <v>45</v>
      </c>
      <c r="T23" s="432" t="s">
        <v>191</v>
      </c>
      <c r="U23" s="436">
        <f t="shared" si="0"/>
        <v>0</v>
      </c>
    </row>
    <row r="24" spans="3:21" ht="15" customHeight="1">
      <c r="C24" s="113">
        <f>margins!AP19</f>
        <v>9.375</v>
      </c>
      <c r="D24" s="766">
        <v>106.431</v>
      </c>
      <c r="E24" s="114">
        <v>105.30800000000001</v>
      </c>
      <c r="F24" s="18"/>
      <c r="G24" s="1885"/>
      <c r="H24" s="503" t="s">
        <v>292</v>
      </c>
      <c r="I24" s="502">
        <v>1.25</v>
      </c>
      <c r="J24" s="501">
        <v>1.25</v>
      </c>
      <c r="K24" s="501">
        <v>1.25</v>
      </c>
      <c r="L24" s="501">
        <v>1</v>
      </c>
      <c r="M24" s="501">
        <v>0.625</v>
      </c>
      <c r="N24" s="501">
        <v>0.25</v>
      </c>
      <c r="O24" s="501">
        <v>-1.75</v>
      </c>
      <c r="P24" s="501">
        <v>-5.5</v>
      </c>
      <c r="Q24" s="505">
        <v>-8.5</v>
      </c>
      <c r="R24" s="1531"/>
      <c r="S24" s="581" t="s">
        <v>634</v>
      </c>
      <c r="T24" s="432" t="s">
        <v>191</v>
      </c>
      <c r="U24" s="436">
        <f t="shared" si="0"/>
        <v>0</v>
      </c>
    </row>
    <row r="25" spans="3:21" ht="15" customHeight="1">
      <c r="C25" s="113">
        <f>margins!AP20</f>
        <v>9.5</v>
      </c>
      <c r="D25" s="766">
        <v>106.804</v>
      </c>
      <c r="E25" s="114">
        <v>105.68300000000001</v>
      </c>
      <c r="F25" s="18"/>
      <c r="G25" s="1885"/>
      <c r="H25" s="503" t="s">
        <v>291</v>
      </c>
      <c r="I25" s="502">
        <v>0.875</v>
      </c>
      <c r="J25" s="501">
        <v>0.875</v>
      </c>
      <c r="K25" s="501">
        <v>0.875</v>
      </c>
      <c r="L25" s="501">
        <v>0.5</v>
      </c>
      <c r="M25" s="501">
        <v>0.125</v>
      </c>
      <c r="N25" s="501">
        <v>-0.5</v>
      </c>
      <c r="O25" s="501">
        <v>-2.75</v>
      </c>
      <c r="P25" s="501">
        <v>-7</v>
      </c>
      <c r="Q25" s="505" t="s">
        <v>14</v>
      </c>
      <c r="S25" s="581" t="s">
        <v>62</v>
      </c>
      <c r="T25" s="432" t="s">
        <v>191</v>
      </c>
      <c r="U25" s="436">
        <f>IF(T25="Choose a Selection",0,(INDEX($I$21:$Q$56,MATCH(T25,$H$21:$H$56,0),MATCH($T$15,$I$20:$Q$20,0),1)))</f>
        <v>0</v>
      </c>
    </row>
    <row r="26" spans="3:21" ht="15" customHeight="1">
      <c r="C26" s="113">
        <f>margins!AP21</f>
        <v>9.625</v>
      </c>
      <c r="D26" s="766">
        <v>107.169</v>
      </c>
      <c r="E26" s="114">
        <v>106.057</v>
      </c>
      <c r="F26" s="18"/>
      <c r="G26" s="1885"/>
      <c r="H26" s="654" t="s">
        <v>290</v>
      </c>
      <c r="I26" s="644">
        <v>0.375</v>
      </c>
      <c r="J26" s="645">
        <v>0.375</v>
      </c>
      <c r="K26" s="645">
        <v>0.375</v>
      </c>
      <c r="L26" s="645">
        <v>-0.125</v>
      </c>
      <c r="M26" s="645">
        <v>-1</v>
      </c>
      <c r="N26" s="645">
        <v>-2</v>
      </c>
      <c r="O26" s="645">
        <v>-5</v>
      </c>
      <c r="P26" s="645">
        <v>-8</v>
      </c>
      <c r="Q26" s="646" t="s">
        <v>14</v>
      </c>
      <c r="S26" s="581" t="s">
        <v>205</v>
      </c>
      <c r="T26" s="432">
        <v>15</v>
      </c>
      <c r="U26" s="436">
        <f>IF(T26=15,0,H10)</f>
        <v>0</v>
      </c>
    </row>
    <row r="27" spans="3:21" ht="15" customHeight="1">
      <c r="C27" s="113">
        <f>margins!AP22</f>
        <v>9.75</v>
      </c>
      <c r="D27" s="766">
        <v>107.533</v>
      </c>
      <c r="E27" s="114">
        <v>106.431</v>
      </c>
      <c r="F27" s="18"/>
      <c r="G27" s="1886"/>
      <c r="H27" s="499" t="s">
        <v>289</v>
      </c>
      <c r="I27" s="498">
        <v>-0.25</v>
      </c>
      <c r="J27" s="497">
        <v>-0.5</v>
      </c>
      <c r="K27" s="497">
        <v>-0.75</v>
      </c>
      <c r="L27" s="497">
        <v>-1</v>
      </c>
      <c r="M27" s="497">
        <v>-3</v>
      </c>
      <c r="N27" s="497">
        <v>-4</v>
      </c>
      <c r="O27" s="497" t="s">
        <v>14</v>
      </c>
      <c r="P27" s="497" t="s">
        <v>14</v>
      </c>
      <c r="Q27" s="511" t="s">
        <v>14</v>
      </c>
      <c r="S27" s="1543" t="s">
        <v>669</v>
      </c>
      <c r="T27" s="432" t="s">
        <v>191</v>
      </c>
      <c r="U27" s="1544">
        <f>IF(T27="Loan Amount &gt;=100,000", 0.5, 0)</f>
        <v>0</v>
      </c>
    </row>
    <row r="28" spans="3:21" ht="15" customHeight="1" thickBot="1">
      <c r="C28" s="113">
        <f>margins!AP23</f>
        <v>9.875</v>
      </c>
      <c r="D28" s="766">
        <v>107.89</v>
      </c>
      <c r="E28" s="114">
        <v>106.804</v>
      </c>
      <c r="F28" s="18"/>
      <c r="G28" s="762" t="s">
        <v>344</v>
      </c>
      <c r="H28" s="763" t="s">
        <v>344</v>
      </c>
      <c r="I28" s="755">
        <v>0</v>
      </c>
      <c r="J28" s="756">
        <v>0</v>
      </c>
      <c r="K28" s="756">
        <v>0</v>
      </c>
      <c r="L28" s="756">
        <v>0</v>
      </c>
      <c r="M28" s="756">
        <v>-0.125</v>
      </c>
      <c r="N28" s="756">
        <v>-0.125</v>
      </c>
      <c r="O28" s="756">
        <v>-0.125</v>
      </c>
      <c r="P28" s="756">
        <v>-0.25</v>
      </c>
      <c r="Q28" s="757">
        <v>-0.375</v>
      </c>
      <c r="S28" s="583" t="s">
        <v>206</v>
      </c>
      <c r="T28" s="433"/>
      <c r="U28" s="437">
        <f>SUM(U16:U27)</f>
        <v>0</v>
      </c>
    </row>
    <row r="29" spans="3:21" ht="15" customHeight="1" thickBot="1">
      <c r="C29" s="113">
        <f>margins!AP24</f>
        <v>10</v>
      </c>
      <c r="D29" s="766">
        <v>108.247</v>
      </c>
      <c r="E29" s="114">
        <v>107.169</v>
      </c>
      <c r="F29" s="18"/>
      <c r="G29" s="758"/>
      <c r="H29" s="661" t="s">
        <v>377</v>
      </c>
      <c r="I29" s="490">
        <v>3</v>
      </c>
      <c r="J29" s="480">
        <v>2.875</v>
      </c>
      <c r="K29" s="508">
        <v>2.875</v>
      </c>
      <c r="L29" s="508">
        <v>2.75</v>
      </c>
      <c r="M29" s="508">
        <v>2.5</v>
      </c>
      <c r="N29" s="508">
        <v>2</v>
      </c>
      <c r="O29" s="508">
        <v>0.875</v>
      </c>
      <c r="P29" s="508">
        <v>-2.25</v>
      </c>
      <c r="Q29" s="507" t="s">
        <v>14</v>
      </c>
      <c r="S29" s="420"/>
      <c r="T29" s="421"/>
      <c r="U29" s="430"/>
    </row>
    <row r="30" spans="3:21" ht="15" customHeight="1" thickBot="1">
      <c r="C30" s="113">
        <f>margins!AP25</f>
        <v>10.125</v>
      </c>
      <c r="D30" s="766">
        <v>108.497</v>
      </c>
      <c r="E30" s="114">
        <v>107.533</v>
      </c>
      <c r="F30" s="18"/>
      <c r="G30" s="759"/>
      <c r="H30" s="656" t="s">
        <v>294</v>
      </c>
      <c r="I30" s="657">
        <v>3</v>
      </c>
      <c r="J30" s="658">
        <v>2.875</v>
      </c>
      <c r="K30" s="659">
        <v>2.875</v>
      </c>
      <c r="L30" s="659">
        <v>2.625</v>
      </c>
      <c r="M30" s="659">
        <v>2.25</v>
      </c>
      <c r="N30" s="659">
        <v>1.375</v>
      </c>
      <c r="O30" s="659">
        <v>0.5</v>
      </c>
      <c r="P30" s="659">
        <v>-3.125</v>
      </c>
      <c r="Q30" s="660" t="s">
        <v>14</v>
      </c>
      <c r="S30" s="422" t="s">
        <v>207</v>
      </c>
      <c r="T30" s="423"/>
      <c r="U30" s="584">
        <f>IF(ISNUMBER(MATCH("NA", U16:U27, 0)), "NA", MIN(H8,(U14+U28)))</f>
        <v>100</v>
      </c>
    </row>
    <row r="31" spans="3:21" ht="15" customHeight="1" thickBot="1">
      <c r="C31" s="113">
        <f>margins!AP26</f>
        <v>10.25</v>
      </c>
      <c r="D31" s="766">
        <v>108.747</v>
      </c>
      <c r="E31" s="114">
        <v>107.89</v>
      </c>
      <c r="F31" s="18"/>
      <c r="G31" s="761" t="s">
        <v>5</v>
      </c>
      <c r="H31" s="503" t="s">
        <v>293</v>
      </c>
      <c r="I31" s="488">
        <v>2</v>
      </c>
      <c r="J31" s="487">
        <v>1.875</v>
      </c>
      <c r="K31" s="501">
        <v>1.875</v>
      </c>
      <c r="L31" s="501">
        <v>1.375</v>
      </c>
      <c r="M31" s="501">
        <v>1</v>
      </c>
      <c r="N31" s="501">
        <v>0.75</v>
      </c>
      <c r="O31" s="501">
        <v>-0.5</v>
      </c>
      <c r="P31" s="501">
        <v>-4.25</v>
      </c>
      <c r="Q31" s="505" t="s">
        <v>14</v>
      </c>
      <c r="S31" s="417"/>
      <c r="T31" s="417"/>
      <c r="U31" s="417"/>
    </row>
    <row r="32" spans="3:21" ht="15" customHeight="1" thickBot="1">
      <c r="C32" s="113">
        <f>margins!AP27</f>
        <v>10.375</v>
      </c>
      <c r="D32" s="766">
        <v>108.997</v>
      </c>
      <c r="E32" s="114">
        <v>108.247</v>
      </c>
      <c r="F32" s="18"/>
      <c r="G32" s="759" t="s">
        <v>38</v>
      </c>
      <c r="H32" s="503" t="s">
        <v>292</v>
      </c>
      <c r="I32" s="502">
        <v>1.25</v>
      </c>
      <c r="J32" s="501">
        <v>1.25</v>
      </c>
      <c r="K32" s="501">
        <v>1.25</v>
      </c>
      <c r="L32" s="501">
        <v>1</v>
      </c>
      <c r="M32" s="501">
        <v>0.625</v>
      </c>
      <c r="N32" s="501">
        <v>0.25</v>
      </c>
      <c r="O32" s="501">
        <v>-1.75</v>
      </c>
      <c r="P32" s="501">
        <v>-6</v>
      </c>
      <c r="Q32" s="505" t="s">
        <v>14</v>
      </c>
      <c r="S32" s="746" t="s">
        <v>447</v>
      </c>
      <c r="T32" s="747"/>
      <c r="U32" s="748"/>
    </row>
    <row r="33" spans="2:17" ht="15" customHeight="1">
      <c r="C33" s="113">
        <f>margins!AP28</f>
        <v>10.5</v>
      </c>
      <c r="D33" s="766">
        <v>109.34699999999999</v>
      </c>
      <c r="E33" s="114">
        <v>108.497</v>
      </c>
      <c r="F33" s="18"/>
      <c r="G33" s="573" t="s">
        <v>39</v>
      </c>
      <c r="H33" s="503" t="s">
        <v>291</v>
      </c>
      <c r="I33" s="502">
        <v>0.875</v>
      </c>
      <c r="J33" s="501">
        <v>0.875</v>
      </c>
      <c r="K33" s="501">
        <v>0.875</v>
      </c>
      <c r="L33" s="501">
        <v>0.5</v>
      </c>
      <c r="M33" s="501">
        <v>0.125</v>
      </c>
      <c r="N33" s="501">
        <v>-0.5</v>
      </c>
      <c r="O33" s="501">
        <v>-2.75</v>
      </c>
      <c r="P33" s="501" t="s">
        <v>14</v>
      </c>
      <c r="Q33" s="505" t="s">
        <v>14</v>
      </c>
    </row>
    <row r="34" spans="2:17">
      <c r="C34" s="113">
        <f>margins!AP29</f>
        <v>10.625</v>
      </c>
      <c r="D34" s="766">
        <v>109.59699999999999</v>
      </c>
      <c r="E34" s="114">
        <v>108.747</v>
      </c>
      <c r="F34" s="18"/>
      <c r="G34" s="573" t="s">
        <v>88</v>
      </c>
      <c r="H34" s="654" t="s">
        <v>290</v>
      </c>
      <c r="I34" s="644">
        <v>0.125</v>
      </c>
      <c r="J34" s="645">
        <v>0.125</v>
      </c>
      <c r="K34" s="645">
        <v>0.125</v>
      </c>
      <c r="L34" s="645">
        <v>-0.375</v>
      </c>
      <c r="M34" s="645">
        <v>-1.25</v>
      </c>
      <c r="N34" s="645">
        <v>-2.25</v>
      </c>
      <c r="O34" s="645">
        <v>-5.5</v>
      </c>
      <c r="P34" s="645" t="s">
        <v>14</v>
      </c>
      <c r="Q34" s="646" t="s">
        <v>14</v>
      </c>
    </row>
    <row r="35" spans="2:17">
      <c r="C35" s="113">
        <f>margins!AP30</f>
        <v>10.75</v>
      </c>
      <c r="D35" s="766">
        <v>109.84699999999999</v>
      </c>
      <c r="E35" s="114">
        <v>108.997</v>
      </c>
      <c r="F35" s="18"/>
      <c r="G35" s="760"/>
      <c r="H35" s="499" t="s">
        <v>289</v>
      </c>
      <c r="I35" s="498">
        <v>-0.5</v>
      </c>
      <c r="J35" s="497">
        <v>-0.75</v>
      </c>
      <c r="K35" s="497">
        <v>-1</v>
      </c>
      <c r="L35" s="497">
        <v>-1.25</v>
      </c>
      <c r="M35" s="497">
        <v>-3.25</v>
      </c>
      <c r="N35" s="497">
        <v>-4.5</v>
      </c>
      <c r="O35" s="497" t="s">
        <v>14</v>
      </c>
      <c r="P35" s="497" t="s">
        <v>14</v>
      </c>
      <c r="Q35" s="511" t="s">
        <v>14</v>
      </c>
    </row>
    <row r="36" spans="2:17">
      <c r="C36" s="113">
        <f>margins!AP31</f>
        <v>10.875</v>
      </c>
      <c r="D36" s="766">
        <v>110.09699999999999</v>
      </c>
      <c r="E36" s="114">
        <v>109.34699999999999</v>
      </c>
      <c r="F36" s="18"/>
      <c r="G36" s="1884" t="s">
        <v>448</v>
      </c>
      <c r="H36" s="1253" t="s">
        <v>43</v>
      </c>
      <c r="I36" s="1254">
        <v>0</v>
      </c>
      <c r="J36" s="1255">
        <v>0</v>
      </c>
      <c r="K36" s="1255">
        <v>0</v>
      </c>
      <c r="L36" s="1255">
        <v>0</v>
      </c>
      <c r="M36" s="1255">
        <v>-0.125</v>
      </c>
      <c r="N36" s="1255">
        <v>-0.125</v>
      </c>
      <c r="O36" s="1255">
        <v>-0.125</v>
      </c>
      <c r="P36" s="1255">
        <v>-0.25</v>
      </c>
      <c r="Q36" s="1256" t="s">
        <v>14</v>
      </c>
    </row>
    <row r="37" spans="2:17">
      <c r="C37" s="113">
        <f>margins!AP32</f>
        <v>11</v>
      </c>
      <c r="D37" s="766">
        <v>110.34699999999999</v>
      </c>
      <c r="E37" s="114">
        <v>109.59699999999999</v>
      </c>
      <c r="G37" s="1885"/>
      <c r="H37" s="1258" t="s">
        <v>44</v>
      </c>
      <c r="I37" s="752">
        <v>0</v>
      </c>
      <c r="J37" s="753">
        <v>0</v>
      </c>
      <c r="K37" s="753">
        <v>0</v>
      </c>
      <c r="L37" s="753">
        <v>0</v>
      </c>
      <c r="M37" s="753">
        <v>-0.125</v>
      </c>
      <c r="N37" s="753">
        <v>-0.125</v>
      </c>
      <c r="O37" s="753">
        <v>-0.125</v>
      </c>
      <c r="P37" s="753">
        <v>-0.25</v>
      </c>
      <c r="Q37" s="754" t="s">
        <v>14</v>
      </c>
    </row>
    <row r="38" spans="2:17">
      <c r="C38" s="113">
        <f>margins!AP33</f>
        <v>11.125</v>
      </c>
      <c r="D38" s="766">
        <v>110.59699999999999</v>
      </c>
      <c r="E38" s="114">
        <v>109.84699999999999</v>
      </c>
      <c r="G38" s="1886"/>
      <c r="H38" s="1257" t="s">
        <v>88</v>
      </c>
      <c r="I38" s="752">
        <v>-0.25</v>
      </c>
      <c r="J38" s="753">
        <v>-0.25</v>
      </c>
      <c r="K38" s="753">
        <v>-0.25</v>
      </c>
      <c r="L38" s="753">
        <v>-0.25</v>
      </c>
      <c r="M38" s="753">
        <v>-0.25</v>
      </c>
      <c r="N38" s="753">
        <v>-0.375</v>
      </c>
      <c r="O38" s="753">
        <v>-0.375</v>
      </c>
      <c r="P38" s="753" t="s">
        <v>14</v>
      </c>
      <c r="Q38" s="754" t="s">
        <v>14</v>
      </c>
    </row>
    <row r="39" spans="2:17">
      <c r="C39" s="113">
        <f>margins!AP34</f>
        <v>11.25</v>
      </c>
      <c r="D39" s="766">
        <v>110.84699999999999</v>
      </c>
      <c r="E39" s="114">
        <v>110.09699999999999</v>
      </c>
      <c r="G39" s="1877" t="s">
        <v>198</v>
      </c>
      <c r="H39" s="556" t="s">
        <v>283</v>
      </c>
      <c r="I39" s="490">
        <v>0.10000000000002274</v>
      </c>
      <c r="J39" s="480">
        <v>0.10000000000002274</v>
      </c>
      <c r="K39" s="480">
        <v>0.10000000000002274</v>
      </c>
      <c r="L39" s="480">
        <v>0.10000000000002274</v>
      </c>
      <c r="M39" s="480">
        <v>0.10000000000002274</v>
      </c>
      <c r="N39" s="480">
        <v>0.10000000000002274</v>
      </c>
      <c r="O39" s="480">
        <v>0.10000000000002274</v>
      </c>
      <c r="P39" s="480">
        <v>0.10000000000002274</v>
      </c>
      <c r="Q39" s="622">
        <v>0.10000000000002274</v>
      </c>
    </row>
    <row r="40" spans="2:17">
      <c r="C40" s="113">
        <f>margins!AP35</f>
        <v>11.375</v>
      </c>
      <c r="D40" s="766">
        <v>111.09699999999999</v>
      </c>
      <c r="E40" s="114">
        <v>110.34699999999999</v>
      </c>
      <c r="G40" s="1897"/>
      <c r="H40" s="489" t="s">
        <v>282</v>
      </c>
      <c r="I40" s="488">
        <v>0.10000000000002274</v>
      </c>
      <c r="J40" s="487">
        <v>0.10000000000002274</v>
      </c>
      <c r="K40" s="487">
        <v>0.10000000000002274</v>
      </c>
      <c r="L40" s="487">
        <v>0.10000000000002274</v>
      </c>
      <c r="M40" s="487">
        <v>0.10000000000002274</v>
      </c>
      <c r="N40" s="487">
        <v>0.10000000000002274</v>
      </c>
      <c r="O40" s="487">
        <v>0.10000000000002274</v>
      </c>
      <c r="P40" s="487">
        <v>0.10000000000002274</v>
      </c>
      <c r="Q40" s="623">
        <v>0.10000000000002274</v>
      </c>
    </row>
    <row r="41" spans="2:17" ht="15" customHeight="1">
      <c r="C41" s="113">
        <f>margins!AP36</f>
        <v>11.5</v>
      </c>
      <c r="D41" s="766">
        <v>111.34699999999999</v>
      </c>
      <c r="E41" s="114">
        <v>110.59699999999999</v>
      </c>
      <c r="G41" s="1897"/>
      <c r="H41" s="489" t="s">
        <v>281</v>
      </c>
      <c r="I41" s="488">
        <v>0.10000000000002274</v>
      </c>
      <c r="J41" s="487">
        <v>0.10000000000002274</v>
      </c>
      <c r="K41" s="487">
        <v>0.10000000000002274</v>
      </c>
      <c r="L41" s="487">
        <v>0.10000000000002274</v>
      </c>
      <c r="M41" s="487">
        <v>0.10000000000002274</v>
      </c>
      <c r="N41" s="487">
        <v>0.10000000000002274</v>
      </c>
      <c r="O41" s="487">
        <v>0.10000000000002274</v>
      </c>
      <c r="P41" s="487">
        <v>0.10000000000002274</v>
      </c>
      <c r="Q41" s="623">
        <v>0.10000000000002274</v>
      </c>
    </row>
    <row r="42" spans="2:17">
      <c r="C42" s="113">
        <f>margins!AP37</f>
        <v>11.625</v>
      </c>
      <c r="D42" s="766">
        <v>111.47199999999999</v>
      </c>
      <c r="E42" s="114">
        <v>110.84699999999999</v>
      </c>
      <c r="G42" s="1897"/>
      <c r="H42" s="489" t="s">
        <v>363</v>
      </c>
      <c r="I42" s="488">
        <v>0.10000000000002274</v>
      </c>
      <c r="J42" s="487">
        <v>0.10000000000002274</v>
      </c>
      <c r="K42" s="487">
        <v>0.10000000000002274</v>
      </c>
      <c r="L42" s="487">
        <v>0.10000000000002274</v>
      </c>
      <c r="M42" s="487">
        <v>0.10000000000002274</v>
      </c>
      <c r="N42" s="487">
        <v>0.10000000000002274</v>
      </c>
      <c r="O42" s="487">
        <v>0.10000000000002274</v>
      </c>
      <c r="P42" s="487">
        <v>0.10000000000002274</v>
      </c>
      <c r="Q42" s="623">
        <v>0.10000000000002274</v>
      </c>
    </row>
    <row r="43" spans="2:17">
      <c r="C43" s="113">
        <f>margins!AP38</f>
        <v>11.75</v>
      </c>
      <c r="D43" s="766">
        <v>111.59699999999999</v>
      </c>
      <c r="E43" s="114">
        <v>111.09699999999999</v>
      </c>
      <c r="G43" s="1878"/>
      <c r="H43" s="538" t="s">
        <v>280</v>
      </c>
      <c r="I43" s="618">
        <v>0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624">
        <v>0</v>
      </c>
    </row>
    <row r="44" spans="2:17" ht="15" customHeight="1">
      <c r="C44" s="113">
        <f>margins!AP39</f>
        <v>11.875</v>
      </c>
      <c r="D44" s="766">
        <v>111.72199999999999</v>
      </c>
      <c r="E44" s="114">
        <v>111.34699999999999</v>
      </c>
      <c r="G44" s="1877" t="s">
        <v>279</v>
      </c>
      <c r="H44" s="486" t="s">
        <v>657</v>
      </c>
      <c r="I44" s="466">
        <v>-0.25</v>
      </c>
      <c r="J44" s="465">
        <v>-0.25</v>
      </c>
      <c r="K44" s="465">
        <v>-0.25</v>
      </c>
      <c r="L44" s="465">
        <v>-0.25</v>
      </c>
      <c r="M44" s="465">
        <v>-0.25</v>
      </c>
      <c r="N44" s="465">
        <v>-0.25</v>
      </c>
      <c r="O44" s="465">
        <v>-0.25</v>
      </c>
      <c r="P44" s="465">
        <v>-0.375</v>
      </c>
      <c r="Q44" s="625">
        <v>-0.375</v>
      </c>
    </row>
    <row r="45" spans="2:17">
      <c r="B45" s="22"/>
      <c r="C45" s="113">
        <f>margins!AP40</f>
        <v>12</v>
      </c>
      <c r="D45" s="766">
        <v>111.84699999999999</v>
      </c>
      <c r="E45" s="114">
        <v>111.47199999999999</v>
      </c>
      <c r="G45" s="1897"/>
      <c r="H45" s="486" t="s">
        <v>379</v>
      </c>
      <c r="I45" s="461">
        <v>-0.125</v>
      </c>
      <c r="J45" s="460">
        <v>-0.125</v>
      </c>
      <c r="K45" s="460">
        <v>-0.125</v>
      </c>
      <c r="L45" s="460">
        <v>-0.125</v>
      </c>
      <c r="M45" s="460">
        <v>-0.125</v>
      </c>
      <c r="N45" s="460">
        <v>-0.125</v>
      </c>
      <c r="O45" s="460">
        <v>-0.125</v>
      </c>
      <c r="P45" s="460">
        <v>-0.25</v>
      </c>
      <c r="Q45" s="459">
        <v>-0.25</v>
      </c>
    </row>
    <row r="46" spans="2:17" ht="15" customHeight="1">
      <c r="C46" s="113">
        <f>margins!AP41</f>
        <v>12.125</v>
      </c>
      <c r="D46" s="766">
        <v>111.97199999999999</v>
      </c>
      <c r="E46" s="114">
        <v>111.59699999999999</v>
      </c>
      <c r="G46" s="1897"/>
      <c r="H46" s="485" t="s">
        <v>380</v>
      </c>
      <c r="I46" s="461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59">
        <v>0</v>
      </c>
    </row>
    <row r="47" spans="2:17">
      <c r="C47" s="113">
        <f>margins!AP42</f>
        <v>12.25</v>
      </c>
      <c r="D47" s="766">
        <v>112.09699999999999</v>
      </c>
      <c r="E47" s="114">
        <v>111.72199999999999</v>
      </c>
      <c r="G47" s="1897"/>
      <c r="H47" s="485" t="s">
        <v>381</v>
      </c>
      <c r="I47" s="461">
        <v>0.25</v>
      </c>
      <c r="J47" s="460">
        <v>0.25</v>
      </c>
      <c r="K47" s="460">
        <v>0.25</v>
      </c>
      <c r="L47" s="460">
        <v>0.25</v>
      </c>
      <c r="M47" s="460">
        <v>0.25</v>
      </c>
      <c r="N47" s="460">
        <v>0.25</v>
      </c>
      <c r="O47" s="460">
        <v>0.25</v>
      </c>
      <c r="P47" s="460">
        <v>0</v>
      </c>
      <c r="Q47" s="459">
        <v>0</v>
      </c>
    </row>
    <row r="48" spans="2:17">
      <c r="C48" s="113">
        <f>margins!AP43</f>
        <v>12.375</v>
      </c>
      <c r="D48" s="766">
        <v>112.22199999999999</v>
      </c>
      <c r="E48" s="114">
        <v>111.84699999999999</v>
      </c>
      <c r="G48" s="1878"/>
      <c r="H48" s="484" t="s">
        <v>382</v>
      </c>
      <c r="I48" s="865">
        <v>0.375</v>
      </c>
      <c r="J48" s="866">
        <v>0.375</v>
      </c>
      <c r="K48" s="866">
        <v>0.375</v>
      </c>
      <c r="L48" s="866">
        <v>0.375</v>
      </c>
      <c r="M48" s="866">
        <v>0.375</v>
      </c>
      <c r="N48" s="866">
        <v>0.375</v>
      </c>
      <c r="O48" s="866">
        <v>0.375</v>
      </c>
      <c r="P48" s="866">
        <v>0</v>
      </c>
      <c r="Q48" s="867" t="s">
        <v>14</v>
      </c>
    </row>
    <row r="49" spans="3:17">
      <c r="C49" s="113">
        <f>margins!AP44</f>
        <v>12.5</v>
      </c>
      <c r="D49" s="766">
        <v>112.34699999999999</v>
      </c>
      <c r="E49" s="114">
        <v>111.97199999999999</v>
      </c>
      <c r="G49" s="1895" t="s">
        <v>60</v>
      </c>
      <c r="H49" s="539" t="s">
        <v>29</v>
      </c>
      <c r="I49" s="473">
        <v>-1</v>
      </c>
      <c r="J49" s="472">
        <v>-1</v>
      </c>
      <c r="K49" s="472">
        <v>-1</v>
      </c>
      <c r="L49" s="472">
        <v>-1</v>
      </c>
      <c r="M49" s="472">
        <v>-1</v>
      </c>
      <c r="N49" s="472">
        <v>-1</v>
      </c>
      <c r="O49" s="472">
        <v>-1</v>
      </c>
      <c r="P49" s="472" t="s">
        <v>14</v>
      </c>
      <c r="Q49" s="626" t="s">
        <v>14</v>
      </c>
    </row>
    <row r="50" spans="3:17">
      <c r="C50" s="113">
        <f>margins!AP45</f>
        <v>12.625</v>
      </c>
      <c r="D50" s="766">
        <v>112.47199999999999</v>
      </c>
      <c r="E50" s="114">
        <v>112.09699999999999</v>
      </c>
      <c r="G50" s="1896"/>
      <c r="H50" s="647" t="s">
        <v>61</v>
      </c>
      <c r="I50" s="457">
        <v>-1.875</v>
      </c>
      <c r="J50" s="456">
        <v>-1.875</v>
      </c>
      <c r="K50" s="456">
        <v>-2.375</v>
      </c>
      <c r="L50" s="456">
        <v>-2.875</v>
      </c>
      <c r="M50" s="456">
        <v>-3.375</v>
      </c>
      <c r="N50" s="456">
        <v>-4</v>
      </c>
      <c r="O50" s="456" t="s">
        <v>14</v>
      </c>
      <c r="P50" s="456" t="s">
        <v>14</v>
      </c>
      <c r="Q50" s="455" t="s">
        <v>14</v>
      </c>
    </row>
    <row r="51" spans="3:17">
      <c r="C51" s="113">
        <f>margins!AP46</f>
        <v>12.75</v>
      </c>
      <c r="D51" s="766">
        <v>112.59699999999999</v>
      </c>
      <c r="E51" s="114">
        <v>112.22199999999999</v>
      </c>
      <c r="G51" s="1892" t="s">
        <v>45</v>
      </c>
      <c r="H51" s="539" t="s">
        <v>374</v>
      </c>
      <c r="I51" s="473">
        <v>0</v>
      </c>
      <c r="J51" s="472">
        <v>0</v>
      </c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626">
        <v>0</v>
      </c>
    </row>
    <row r="52" spans="3:17">
      <c r="C52" s="113">
        <f>margins!AP47</f>
        <v>12.875</v>
      </c>
      <c r="D52" s="766">
        <v>112.72199999999999</v>
      </c>
      <c r="E52" s="114">
        <v>112.34699999999999</v>
      </c>
      <c r="G52" s="1893"/>
      <c r="H52" s="486" t="s">
        <v>375</v>
      </c>
      <c r="I52" s="461">
        <v>-0.375</v>
      </c>
      <c r="J52" s="460">
        <v>-0.375</v>
      </c>
      <c r="K52" s="460">
        <v>-0.375</v>
      </c>
      <c r="L52" s="460">
        <v>-0.375</v>
      </c>
      <c r="M52" s="460">
        <v>-0.375</v>
      </c>
      <c r="N52" s="460">
        <v>-0.375</v>
      </c>
      <c r="O52" s="460">
        <v>-0.5</v>
      </c>
      <c r="P52" s="460">
        <v>-0.75</v>
      </c>
      <c r="Q52" s="459">
        <v>-1</v>
      </c>
    </row>
    <row r="53" spans="3:17">
      <c r="C53" s="113">
        <f>margins!AP48</f>
        <v>13</v>
      </c>
      <c r="D53" s="766">
        <v>112.84699999999999</v>
      </c>
      <c r="E53" s="114">
        <v>112.47199999999999</v>
      </c>
      <c r="G53" s="1894"/>
      <c r="H53" s="538" t="s">
        <v>376</v>
      </c>
      <c r="I53" s="457">
        <v>-0.5</v>
      </c>
      <c r="J53" s="456">
        <v>-0.5</v>
      </c>
      <c r="K53" s="456">
        <v>-0.5</v>
      </c>
      <c r="L53" s="456">
        <v>-0.5</v>
      </c>
      <c r="M53" s="456">
        <v>-0.5</v>
      </c>
      <c r="N53" s="456">
        <v>-0.5</v>
      </c>
      <c r="O53" s="456">
        <v>-0.75</v>
      </c>
      <c r="P53" s="456" t="s">
        <v>14</v>
      </c>
      <c r="Q53" s="455" t="s">
        <v>14</v>
      </c>
    </row>
    <row r="54" spans="3:17">
      <c r="C54" s="113">
        <f>margins!AP49</f>
        <v>13.125</v>
      </c>
      <c r="D54" s="766">
        <v>112.97199999999999</v>
      </c>
      <c r="E54" s="114">
        <v>112.59699999999999</v>
      </c>
      <c r="G54" s="1227" t="s">
        <v>631</v>
      </c>
      <c r="H54" s="653" t="s">
        <v>503</v>
      </c>
      <c r="I54" s="483">
        <v>-1</v>
      </c>
      <c r="J54" s="482">
        <v>-1</v>
      </c>
      <c r="K54" s="482">
        <v>-1.25</v>
      </c>
      <c r="L54" s="482">
        <v>-1.25</v>
      </c>
      <c r="M54" s="482">
        <v>-1.5</v>
      </c>
      <c r="N54" s="482">
        <v>-1.5</v>
      </c>
      <c r="O54" s="482">
        <v>-2</v>
      </c>
      <c r="P54" s="482" t="s">
        <v>14</v>
      </c>
      <c r="Q54" s="540" t="s">
        <v>14</v>
      </c>
    </row>
    <row r="55" spans="3:17">
      <c r="G55" s="1877" t="s">
        <v>62</v>
      </c>
      <c r="H55" s="662" t="s">
        <v>260</v>
      </c>
      <c r="I55" s="648">
        <v>-0.25</v>
      </c>
      <c r="J55" s="649">
        <v>-0.25</v>
      </c>
      <c r="K55" s="649">
        <v>-0.25</v>
      </c>
      <c r="L55" s="649">
        <v>-0.25</v>
      </c>
      <c r="M55" s="649">
        <v>-0.375</v>
      </c>
      <c r="N55" s="649">
        <v>-0.375</v>
      </c>
      <c r="O55" s="649">
        <v>-0.5</v>
      </c>
      <c r="P55" s="649" t="s">
        <v>14</v>
      </c>
      <c r="Q55" s="650" t="s">
        <v>14</v>
      </c>
    </row>
    <row r="56" spans="3:17">
      <c r="G56" s="1878"/>
      <c r="H56" s="662" t="s">
        <v>348</v>
      </c>
      <c r="I56" s="648">
        <v>-0.5</v>
      </c>
      <c r="J56" s="649">
        <v>-0.5</v>
      </c>
      <c r="K56" s="649">
        <v>-0.5</v>
      </c>
      <c r="L56" s="649">
        <v>-0.5</v>
      </c>
      <c r="M56" s="649">
        <v>-0.5</v>
      </c>
      <c r="N56" s="649">
        <v>-0.5</v>
      </c>
      <c r="O56" s="649" t="s">
        <v>14</v>
      </c>
      <c r="P56" s="649" t="s">
        <v>14</v>
      </c>
      <c r="Q56" s="650" t="s">
        <v>14</v>
      </c>
    </row>
    <row r="57" spans="3:17"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7"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3:17"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3:17"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3:17"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3:17"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3:17"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3:17"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7:16"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7:16"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7:16"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7:16"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7:16"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7:16"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7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7:16"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7:16"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7:16"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7:16"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7:16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7:16"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7:16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7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7:16">
      <c r="G80" s="36"/>
      <c r="H80" s="36"/>
      <c r="I80" s="36"/>
      <c r="J80" s="36"/>
      <c r="K80" s="36"/>
      <c r="L80" s="36"/>
      <c r="M80" s="36"/>
      <c r="N80" s="36"/>
      <c r="O80" s="36"/>
    </row>
  </sheetData>
  <mergeCells count="12">
    <mergeCell ref="C6:E6"/>
    <mergeCell ref="G21:G27"/>
    <mergeCell ref="G51:G53"/>
    <mergeCell ref="G49:G50"/>
    <mergeCell ref="G44:G48"/>
    <mergeCell ref="G39:G43"/>
    <mergeCell ref="G55:G56"/>
    <mergeCell ref="G19:H19"/>
    <mergeCell ref="I19:Q19"/>
    <mergeCell ref="G36:G38"/>
    <mergeCell ref="J13:K13"/>
    <mergeCell ref="M13:N13"/>
  </mergeCells>
  <conditionalFormatting sqref="I24:P27">
    <cfRule type="cellIs" dxfId="115" priority="7" operator="between">
      <formula>101</formula>
      <formula>101.5</formula>
    </cfRule>
  </conditionalFormatting>
  <conditionalFormatting sqref="I32:P35">
    <cfRule type="cellIs" dxfId="114" priority="3" operator="between">
      <formula>101</formula>
      <formula>101.5</formula>
    </cfRule>
  </conditionalFormatting>
  <conditionalFormatting sqref="I36:Q38">
    <cfRule type="cellIs" dxfId="113" priority="1" operator="between">
      <formula>101</formula>
      <formula>101.5</formula>
    </cfRule>
  </conditionalFormatting>
  <conditionalFormatting sqref="K21:M23 N21:P25 Q21:Q27 H22 I28:Q28 K29:M31 N29:P33 Q29:Q35 H30">
    <cfRule type="cellIs" dxfId="112" priority="9" operator="between">
      <formula>101</formula>
      <formula>101.5</formula>
    </cfRule>
  </conditionalFormatting>
  <conditionalFormatting sqref="M26:M27">
    <cfRule type="cellIs" dxfId="111" priority="6" operator="between">
      <formula>101</formula>
      <formula>101.5</formula>
    </cfRule>
  </conditionalFormatting>
  <conditionalFormatting sqref="M34:M35">
    <cfRule type="cellIs" dxfId="110" priority="2" operator="between">
      <formula>101</formula>
      <formula>101.5</formula>
    </cfRule>
  </conditionalFormatting>
  <conditionalFormatting sqref="Q50">
    <cfRule type="cellIs" dxfId="109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  <x14:dataValidation type="list" allowBlank="1" showInputMessage="1" showErrorMessage="1" xr:uid="{BB6FCE96-7F74-429C-B3FD-1D3CD227D094}">
          <x14:formula1>
            <xm:f>margins!$AG$139:$AG$144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margins!$AG$132:$AG$137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margins!$AG$151:$AG$153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margins!$AG$146:$AG$149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margins!$AG$160:$AG$162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margins!$AG$157:$AG$158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margins!$AG$171:$AG$178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margins!$AG$164:$AG$165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margins!$AG$167:$AG$168</xm:f>
          </x14:formula1>
          <xm:sqref>T19</xm:sqref>
        </x14:dataValidation>
        <x14:dataValidation type="list" allowBlank="1" showInputMessage="1" showErrorMessage="1" xr:uid="{1695FBAF-77C5-4BD6-8B75-33F122861DB3}">
          <x14:formula1>
            <xm:f>margins!$AG$183:$AG$184</xm:f>
          </x14:formula1>
          <xm:sqref>T27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21.28515625" style="936" customWidth="1"/>
    <col min="3" max="3" width="26.42578125" style="936" customWidth="1"/>
    <col min="4" max="4" width="13.7109375" style="936" customWidth="1"/>
    <col min="5" max="5" width="13.85546875" style="936" customWidth="1"/>
    <col min="6" max="6" width="16.85546875" style="936" customWidth="1"/>
    <col min="7" max="7" width="16.42578125" style="936" customWidth="1"/>
    <col min="8" max="8" width="11.5703125" style="936" bestFit="1" customWidth="1"/>
    <col min="9" max="9" width="15.5703125" style="936" customWidth="1"/>
    <col min="10" max="10" width="16.5703125" style="936" customWidth="1"/>
    <col min="11" max="11" width="15.28515625" style="936" customWidth="1"/>
    <col min="12" max="12" width="13.7109375" style="936" customWidth="1"/>
    <col min="13" max="13" width="4.140625" style="936" customWidth="1"/>
    <col min="14" max="14" width="9.140625" style="935"/>
    <col min="15" max="15" width="19.85546875" style="935" customWidth="1"/>
    <col min="16" max="16" width="18.7109375" style="935" customWidth="1"/>
    <col min="17" max="17" width="16.5703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171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>
      <c r="A10" s="1748" t="s">
        <v>364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715" t="s">
        <v>360</v>
      </c>
      <c r="P10" s="1716"/>
      <c r="Q10" s="1716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1"/>
      <c r="P11" s="1"/>
      <c r="Q11" s="1"/>
    </row>
    <row r="12" spans="1:17" s="936" customFormat="1" ht="15.75" thickBot="1">
      <c r="A12" s="1144"/>
      <c r="B12" s="1142"/>
      <c r="C12"/>
      <c r="D12"/>
      <c r="E12"/>
      <c r="F12" s="1143"/>
      <c r="G12" s="1142"/>
      <c r="H12" s="1142"/>
      <c r="I12" s="1142"/>
      <c r="J12" s="1142"/>
      <c r="K12" s="1142"/>
      <c r="L12" s="1142"/>
      <c r="M12" s="1165"/>
      <c r="O12" s="1112" t="s">
        <v>195</v>
      </c>
      <c r="P12" s="1112" t="s">
        <v>196</v>
      </c>
      <c r="Q12" s="1112" t="s">
        <v>197</v>
      </c>
    </row>
    <row r="13" spans="1:17" s="936" customFormat="1" ht="15.75" thickBot="1">
      <c r="A13" s="1129"/>
      <c r="B13" s="1275" t="s">
        <v>211</v>
      </c>
      <c r="C13" s="1300" t="s">
        <v>4</v>
      </c>
      <c r="D13" s="1275" t="s">
        <v>5</v>
      </c>
      <c r="E13"/>
      <c r="F13" s="1081" t="s">
        <v>2</v>
      </c>
      <c r="G13" s="1080"/>
      <c r="I13" s="1901" t="s">
        <v>303</v>
      </c>
      <c r="J13" s="1902"/>
      <c r="K13" s="1903"/>
      <c r="M13" s="940"/>
      <c r="O13" s="1"/>
      <c r="P13" s="1"/>
      <c r="Q13" s="1"/>
    </row>
    <row r="14" spans="1:17" s="936" customFormat="1" ht="15.75" thickBot="1">
      <c r="A14" s="1129"/>
      <c r="B14" s="1318">
        <f>margins!AP3</f>
        <v>7.375</v>
      </c>
      <c r="C14" s="1321">
        <v>99.673000000000002</v>
      </c>
      <c r="D14" s="1323" t="s">
        <v>14</v>
      </c>
      <c r="E14"/>
      <c r="F14" s="1112" t="s">
        <v>6</v>
      </c>
      <c r="G14" s="1175">
        <v>100</v>
      </c>
      <c r="I14" s="1904" t="s">
        <v>689</v>
      </c>
      <c r="J14" s="1905"/>
      <c r="K14" s="1906"/>
      <c r="M14" s="940"/>
      <c r="O14" s="1"/>
      <c r="P14" s="1"/>
      <c r="Q14" s="1"/>
    </row>
    <row r="15" spans="1:17" s="936" customFormat="1" ht="15.75" thickBot="1">
      <c r="A15" s="1129"/>
      <c r="B15" s="1318">
        <f>margins!AP4</f>
        <v>7.5</v>
      </c>
      <c r="C15" s="1321">
        <v>100.122</v>
      </c>
      <c r="D15" s="1323" t="s">
        <v>14</v>
      </c>
      <c r="E15"/>
      <c r="F15" s="1112" t="s">
        <v>8</v>
      </c>
      <c r="G15" s="1134">
        <v>0</v>
      </c>
      <c r="I15" s="1898" t="s">
        <v>690</v>
      </c>
      <c r="J15" s="1899"/>
      <c r="K15" s="1900"/>
      <c r="M15" s="940"/>
      <c r="O15" s="579" t="s">
        <v>5</v>
      </c>
      <c r="P15" s="431" t="s">
        <v>321</v>
      </c>
      <c r="Q15" s="630"/>
    </row>
    <row r="16" spans="1:17" s="936" customFormat="1" ht="15.75" thickBot="1">
      <c r="A16" s="1129"/>
      <c r="B16" s="1318">
        <f>margins!AP5</f>
        <v>7.625</v>
      </c>
      <c r="C16" s="1321">
        <v>100.575</v>
      </c>
      <c r="D16" s="1323" t="s">
        <v>14</v>
      </c>
      <c r="E16"/>
      <c r="F16" s="1101" t="s">
        <v>10</v>
      </c>
      <c r="G16" s="1331">
        <v>-0.375</v>
      </c>
      <c r="I16" s="1898"/>
      <c r="J16" s="1899"/>
      <c r="K16" s="1900"/>
      <c r="M16" s="940"/>
      <c r="O16" s="581" t="s">
        <v>199</v>
      </c>
      <c r="P16" s="432">
        <v>10</v>
      </c>
      <c r="Q16" s="436">
        <f>IF(P15="No",VLOOKUP(P16,$B$14:$D$60,2,FALSE),VLOOKUP(P16,$B$14:$D$60,3,FALSE))</f>
        <v>107.169</v>
      </c>
    </row>
    <row r="17" spans="1:17" s="936" customFormat="1">
      <c r="A17" s="1129"/>
      <c r="B17" s="1318">
        <f>margins!AP6</f>
        <v>7.75</v>
      </c>
      <c r="C17" s="1321">
        <v>101.024</v>
      </c>
      <c r="D17" s="1323">
        <v>99.673000000000002</v>
      </c>
      <c r="E17"/>
      <c r="F17"/>
      <c r="G17"/>
      <c r="I17" s="1907" t="s">
        <v>691</v>
      </c>
      <c r="J17" s="1908"/>
      <c r="K17" s="1909"/>
      <c r="L17" s="1080"/>
      <c r="M17" s="949"/>
      <c r="O17" s="581" t="s">
        <v>353</v>
      </c>
      <c r="P17" s="432" t="s">
        <v>21</v>
      </c>
      <c r="Q17" s="436"/>
    </row>
    <row r="18" spans="1:17" s="936" customFormat="1" ht="15" customHeight="1" thickBot="1">
      <c r="A18" s="1129"/>
      <c r="B18" s="1318">
        <f>margins!AP7</f>
        <v>7.875</v>
      </c>
      <c r="C18" s="1321">
        <v>101.477</v>
      </c>
      <c r="D18" s="1323">
        <v>100.122</v>
      </c>
      <c r="E18"/>
      <c r="F18"/>
      <c r="G18"/>
      <c r="I18" s="1334" t="s">
        <v>692</v>
      </c>
      <c r="J18" s="1335"/>
      <c r="K18" s="1336"/>
      <c r="L18" s="1218"/>
      <c r="M18" s="940"/>
      <c r="O18" s="581" t="s">
        <v>449</v>
      </c>
      <c r="P18" s="432" t="s">
        <v>292</v>
      </c>
      <c r="Q18" s="436">
        <f>IF(P18="Choose a Selection",0,(INDEX($D$65:$L$71,MATCH(P18,$C$65:$C$71,0),MATCH($P$17,$D$64:$L$64,0),1)))</f>
        <v>-1.75</v>
      </c>
    </row>
    <row r="19" spans="1:17" s="936" customFormat="1">
      <c r="A19" s="1129"/>
      <c r="B19" s="1318">
        <f>margins!AP8</f>
        <v>8</v>
      </c>
      <c r="C19" s="1321">
        <v>102.029</v>
      </c>
      <c r="D19" s="1323">
        <v>100.575</v>
      </c>
      <c r="E19"/>
      <c r="F19" s="1729" t="s">
        <v>30</v>
      </c>
      <c r="G19" s="1769"/>
      <c r="L19" s="1218"/>
      <c r="M19" s="940"/>
      <c r="O19" s="581" t="s">
        <v>450</v>
      </c>
      <c r="P19" s="432" t="s">
        <v>191</v>
      </c>
      <c r="Q19" s="436">
        <f>IF(P19="Choose a Selection",0,(INDEX($D$72:$L$72,1,MATCH($P$17,$D$64:$L$64,0),1)))</f>
        <v>0</v>
      </c>
    </row>
    <row r="20" spans="1:17" s="936" customFormat="1">
      <c r="A20" s="1129"/>
      <c r="B20" s="1318">
        <f>margins!AP9</f>
        <v>8.125</v>
      </c>
      <c r="C20" s="1321">
        <v>102.47499999999999</v>
      </c>
      <c r="D20" s="1323">
        <v>101.024</v>
      </c>
      <c r="E20"/>
      <c r="F20" s="1332" t="s">
        <v>83</v>
      </c>
      <c r="G20" s="1338">
        <v>-0.25</v>
      </c>
      <c r="L20" s="1218"/>
      <c r="M20" s="940"/>
      <c r="O20" s="581" t="s">
        <v>451</v>
      </c>
      <c r="P20" s="432" t="s">
        <v>191</v>
      </c>
      <c r="Q20" s="436">
        <f>IF(P20="Choose a Selection",0,(INDEX($I$29:$Q$35,MATCH(P20,$H$29:$H$35,0),MATCH($T$15,$I$20:$Q$20,0),1)))</f>
        <v>0</v>
      </c>
    </row>
    <row r="21" spans="1:17" s="936" customFormat="1">
      <c r="A21" s="1129"/>
      <c r="B21" s="1318">
        <f>margins!AP10</f>
        <v>8.25</v>
      </c>
      <c r="C21" s="1321">
        <v>102.92100000000001</v>
      </c>
      <c r="D21" s="1323">
        <v>101.477</v>
      </c>
      <c r="E21"/>
      <c r="F21" s="1332" t="s">
        <v>84</v>
      </c>
      <c r="G21" s="1338">
        <v>-0.32500000000000001</v>
      </c>
      <c r="H21" s="1084"/>
      <c r="L21" s="1218"/>
      <c r="M21" s="940"/>
      <c r="O21" s="581" t="s">
        <v>452</v>
      </c>
      <c r="P21" s="432" t="s">
        <v>191</v>
      </c>
      <c r="Q21" s="436">
        <f t="shared" ref="Q21:Q26" si="0">IF(P21="Choose a Selection",0,(INDEX($I$21:$Q$55,MATCH(P21,$H$21:$H$55,0),MATCH($T$15,$I$20:$Q$20,0),1)))</f>
        <v>0</v>
      </c>
    </row>
    <row r="22" spans="1:17" s="936" customFormat="1">
      <c r="A22" s="1129"/>
      <c r="B22" s="1318">
        <f>margins!AP11</f>
        <v>8.375</v>
      </c>
      <c r="C22" s="1321">
        <v>103.367</v>
      </c>
      <c r="D22" s="1323">
        <v>102.029</v>
      </c>
      <c r="E22"/>
      <c r="F22" s="1332" t="s">
        <v>85</v>
      </c>
      <c r="G22" s="1338">
        <v>-0.55000000000000004</v>
      </c>
      <c r="L22" s="1218"/>
      <c r="M22" s="940"/>
      <c r="O22" s="581" t="s">
        <v>198</v>
      </c>
      <c r="P22" s="432" t="s">
        <v>191</v>
      </c>
      <c r="Q22" s="436">
        <f t="shared" si="0"/>
        <v>0</v>
      </c>
    </row>
    <row r="23" spans="1:17" s="936" customFormat="1" ht="15.75" thickBot="1">
      <c r="A23" s="1082"/>
      <c r="B23" s="1318">
        <f>margins!AP12</f>
        <v>8.5</v>
      </c>
      <c r="C23" s="1321">
        <v>103.812</v>
      </c>
      <c r="D23" s="1323">
        <v>102.47499999999999</v>
      </c>
      <c r="E23"/>
      <c r="F23" s="1333" t="s">
        <v>86</v>
      </c>
      <c r="G23" s="1339">
        <v>-0.65</v>
      </c>
      <c r="H23"/>
      <c r="L23" s="1218"/>
      <c r="M23" s="1311"/>
      <c r="O23" s="581" t="s">
        <v>279</v>
      </c>
      <c r="P23" s="432" t="s">
        <v>191</v>
      </c>
      <c r="Q23" s="436">
        <f t="shared" si="0"/>
        <v>0</v>
      </c>
    </row>
    <row r="24" spans="1:17" s="936" customFormat="1" ht="14.25" customHeight="1">
      <c r="A24" s="1082"/>
      <c r="B24" s="1318">
        <f>margins!AP13</f>
        <v>8.625</v>
      </c>
      <c r="C24" s="1321">
        <v>104.185</v>
      </c>
      <c r="D24" s="1323">
        <v>102.92100000000001</v>
      </c>
      <c r="E24"/>
      <c r="F24" s="936" t="s">
        <v>299</v>
      </c>
      <c r="G24"/>
      <c r="H24"/>
      <c r="L24" s="1218"/>
      <c r="M24" s="1316"/>
      <c r="O24" s="581" t="s">
        <v>60</v>
      </c>
      <c r="P24" s="432" t="s">
        <v>191</v>
      </c>
      <c r="Q24" s="436">
        <f t="shared" si="0"/>
        <v>0</v>
      </c>
    </row>
    <row r="25" spans="1:17" s="936" customFormat="1">
      <c r="A25" s="1082"/>
      <c r="B25" s="1318">
        <f>margins!AP14</f>
        <v>8.75</v>
      </c>
      <c r="C25" s="1321">
        <v>104.55800000000001</v>
      </c>
      <c r="D25" s="1323">
        <v>103.367</v>
      </c>
      <c r="E25"/>
      <c r="H25"/>
      <c r="I25"/>
      <c r="J25" s="1218"/>
      <c r="K25" s="1218"/>
      <c r="L25" s="1218"/>
      <c r="M25" s="1316"/>
      <c r="O25" s="581" t="s">
        <v>45</v>
      </c>
      <c r="P25" s="432" t="s">
        <v>191</v>
      </c>
      <c r="Q25" s="436">
        <f t="shared" si="0"/>
        <v>0</v>
      </c>
    </row>
    <row r="26" spans="1:17" s="936" customFormat="1" ht="14.25" customHeight="1">
      <c r="A26" s="1082"/>
      <c r="B26" s="1318">
        <f>margins!AP15</f>
        <v>8.875</v>
      </c>
      <c r="C26" s="1321">
        <v>104.93300000000001</v>
      </c>
      <c r="D26" s="1323">
        <v>103.812</v>
      </c>
      <c r="E26"/>
      <c r="G26"/>
      <c r="H26"/>
      <c r="I26"/>
      <c r="J26"/>
      <c r="K26"/>
      <c r="L26"/>
      <c r="M26" s="1316"/>
      <c r="O26" s="581" t="s">
        <v>634</v>
      </c>
      <c r="P26" s="432" t="s">
        <v>191</v>
      </c>
      <c r="Q26" s="436">
        <f t="shared" si="0"/>
        <v>0</v>
      </c>
    </row>
    <row r="27" spans="1:17" s="936" customFormat="1">
      <c r="A27" s="1082"/>
      <c r="B27" s="1318">
        <f>margins!AP16</f>
        <v>9</v>
      </c>
      <c r="C27" s="1321">
        <v>105.30800000000001</v>
      </c>
      <c r="D27" s="1323">
        <v>104.185</v>
      </c>
      <c r="E27"/>
      <c r="G27"/>
      <c r="H27"/>
      <c r="I27"/>
      <c r="J27"/>
      <c r="K27"/>
      <c r="L27"/>
      <c r="M27" s="1316"/>
      <c r="O27" s="581" t="s">
        <v>62</v>
      </c>
      <c r="P27" s="432" t="s">
        <v>191</v>
      </c>
      <c r="Q27" s="436">
        <f>IF(P27="Choose a Selection",0,(INDEX($I$21:$Q$56,MATCH(P27,$H$21:$H$56,0),MATCH($T$15,$I$20:$Q$20,0),1)))</f>
        <v>0</v>
      </c>
    </row>
    <row r="28" spans="1:17" s="936" customFormat="1" ht="14.25" customHeight="1">
      <c r="A28" s="1082"/>
      <c r="B28" s="1318">
        <f>margins!AP17</f>
        <v>9.125</v>
      </c>
      <c r="C28" s="1321">
        <v>105.68300000000001</v>
      </c>
      <c r="D28" s="1323">
        <v>104.55800000000001</v>
      </c>
      <c r="E28"/>
      <c r="G28"/>
      <c r="H28"/>
      <c r="I28"/>
      <c r="J28"/>
      <c r="K28"/>
      <c r="L28"/>
      <c r="M28" s="1316"/>
      <c r="O28" s="581" t="s">
        <v>205</v>
      </c>
      <c r="P28" s="432" t="s">
        <v>191</v>
      </c>
      <c r="Q28" s="436">
        <f>IF(P28=15,0, IF(P28=30, D12, 0))</f>
        <v>0</v>
      </c>
    </row>
    <row r="29" spans="1:17" s="936" customFormat="1" ht="15.75" thickBot="1">
      <c r="A29" s="1082"/>
      <c r="B29" s="1318">
        <f>margins!AP18</f>
        <v>9.25</v>
      </c>
      <c r="C29" s="1321">
        <v>106.057</v>
      </c>
      <c r="D29" s="1323">
        <v>104.93300000000001</v>
      </c>
      <c r="E29"/>
      <c r="G29"/>
      <c r="H29"/>
      <c r="I29"/>
      <c r="J29"/>
      <c r="K29"/>
      <c r="L29"/>
      <c r="M29" s="1316"/>
      <c r="O29" s="583" t="s">
        <v>206</v>
      </c>
      <c r="P29" s="433"/>
      <c r="Q29" s="437">
        <f>SUM(Q18:Q28)</f>
        <v>-1.75</v>
      </c>
    </row>
    <row r="30" spans="1:17" s="936" customFormat="1" ht="15.75" thickBot="1">
      <c r="A30" s="1082"/>
      <c r="B30" s="1318">
        <f>margins!AP19</f>
        <v>9.375</v>
      </c>
      <c r="C30" s="1321">
        <v>106.431</v>
      </c>
      <c r="D30" s="1323">
        <v>105.30800000000001</v>
      </c>
      <c r="E30"/>
      <c r="G30"/>
      <c r="H30"/>
      <c r="J30"/>
      <c r="K30"/>
      <c r="L30"/>
      <c r="M30" s="1312"/>
      <c r="O30" s="420"/>
      <c r="P30" s="421"/>
      <c r="Q30" s="430"/>
    </row>
    <row r="31" spans="1:17" s="936" customFormat="1" ht="15.75" thickBot="1">
      <c r="A31" s="1082"/>
      <c r="B31" s="1318">
        <f>margins!AP20</f>
        <v>9.5</v>
      </c>
      <c r="C31" s="1321">
        <v>106.804</v>
      </c>
      <c r="D31" s="1323">
        <v>105.68300000000001</v>
      </c>
      <c r="E31"/>
      <c r="G31" s="1081"/>
      <c r="H31" s="1080"/>
      <c r="J31"/>
      <c r="K31"/>
      <c r="L31"/>
      <c r="M31" s="1312"/>
      <c r="O31" s="422" t="s">
        <v>207</v>
      </c>
      <c r="P31" s="423"/>
      <c r="Q31" s="584">
        <f>IF(ISNUMBER(MATCH("NA", Q18:Q28, 0)), "NA",MIN(G14,(Q16+Q29)))</f>
        <v>100</v>
      </c>
    </row>
    <row r="32" spans="1:17" s="936" customFormat="1" ht="15.75" thickBot="1">
      <c r="A32" s="1082"/>
      <c r="B32" s="1318">
        <f>margins!AP21</f>
        <v>9.625</v>
      </c>
      <c r="C32" s="1321">
        <v>107.169</v>
      </c>
      <c r="D32" s="1323">
        <v>106.057</v>
      </c>
      <c r="E32"/>
      <c r="M32" s="940"/>
      <c r="O32" s="417"/>
      <c r="P32" s="417"/>
      <c r="Q32" s="417"/>
    </row>
    <row r="33" spans="1:17" s="936" customFormat="1" ht="15.75" thickBot="1">
      <c r="A33" s="1082"/>
      <c r="B33" s="1318">
        <f>margins!AP22</f>
        <v>9.75</v>
      </c>
      <c r="C33" s="1321">
        <v>107.533</v>
      </c>
      <c r="D33" s="1323">
        <v>106.431</v>
      </c>
      <c r="E33"/>
      <c r="M33" s="940"/>
      <c r="O33" s="746" t="s">
        <v>447</v>
      </c>
      <c r="P33" s="747"/>
      <c r="Q33" s="748"/>
    </row>
    <row r="34" spans="1:17" s="936" customFormat="1">
      <c r="A34" s="1082"/>
      <c r="B34" s="1318">
        <f>margins!AP23</f>
        <v>9.875</v>
      </c>
      <c r="C34" s="1321">
        <v>107.89</v>
      </c>
      <c r="D34" s="1323">
        <v>106.804</v>
      </c>
      <c r="E34"/>
      <c r="M34" s="940"/>
    </row>
    <row r="35" spans="1:17" s="936" customFormat="1">
      <c r="A35" s="1082"/>
      <c r="B35" s="1318">
        <f>margins!AP24</f>
        <v>10</v>
      </c>
      <c r="C35" s="1321">
        <v>108.247</v>
      </c>
      <c r="D35" s="1323">
        <v>107.169</v>
      </c>
      <c r="E35"/>
      <c r="M35" s="940"/>
    </row>
    <row r="36" spans="1:17" s="936" customFormat="1">
      <c r="A36" s="1082"/>
      <c r="B36" s="1318">
        <f>margins!AP25</f>
        <v>10.125</v>
      </c>
      <c r="C36" s="1321">
        <v>108.497</v>
      </c>
      <c r="D36" s="1323">
        <v>107.533</v>
      </c>
      <c r="E36"/>
      <c r="M36" s="940"/>
    </row>
    <row r="37" spans="1:17" s="936" customFormat="1">
      <c r="A37" s="1082"/>
      <c r="B37" s="1318">
        <f>margins!AP26</f>
        <v>10.25</v>
      </c>
      <c r="C37" s="1321">
        <v>108.747</v>
      </c>
      <c r="D37" s="1323">
        <v>107.89</v>
      </c>
      <c r="E37"/>
      <c r="M37" s="940"/>
    </row>
    <row r="38" spans="1:17" s="936" customFormat="1">
      <c r="A38" s="1082"/>
      <c r="B38" s="1318">
        <f>margins!AP27</f>
        <v>10.375</v>
      </c>
      <c r="C38" s="1321">
        <v>108.997</v>
      </c>
      <c r="D38" s="1323">
        <v>108.247</v>
      </c>
      <c r="E38"/>
      <c r="M38" s="940"/>
    </row>
    <row r="39" spans="1:17" s="936" customFormat="1">
      <c r="A39" s="1082"/>
      <c r="B39" s="1318">
        <f>margins!AP28</f>
        <v>10.5</v>
      </c>
      <c r="C39" s="1321">
        <v>109.34699999999999</v>
      </c>
      <c r="D39" s="1323">
        <v>108.497</v>
      </c>
      <c r="E39"/>
      <c r="M39" s="940"/>
    </row>
    <row r="40" spans="1:17" s="936" customFormat="1">
      <c r="A40" s="1082"/>
      <c r="B40" s="1318">
        <f>margins!AP29</f>
        <v>10.625</v>
      </c>
      <c r="C40" s="1321">
        <v>109.59699999999999</v>
      </c>
      <c r="D40" s="1323">
        <v>108.747</v>
      </c>
      <c r="E40"/>
      <c r="M40" s="940"/>
    </row>
    <row r="41" spans="1:17" s="936" customFormat="1">
      <c r="A41" s="1082"/>
      <c r="B41" s="1318">
        <f>margins!AP30</f>
        <v>10.75</v>
      </c>
      <c r="C41" s="1321">
        <v>109.84699999999999</v>
      </c>
      <c r="D41" s="1323">
        <v>108.997</v>
      </c>
      <c r="E41"/>
      <c r="F41"/>
      <c r="G41"/>
      <c r="M41" s="940"/>
    </row>
    <row r="42" spans="1:17" s="936" customFormat="1">
      <c r="A42" s="1082"/>
      <c r="B42" s="1176">
        <f>margins!AP31</f>
        <v>10.875</v>
      </c>
      <c r="C42" s="1321">
        <v>110.09699999999999</v>
      </c>
      <c r="D42" s="1323">
        <v>109.34699999999999</v>
      </c>
      <c r="E42"/>
      <c r="F42"/>
      <c r="G42"/>
      <c r="M42" s="940"/>
    </row>
    <row r="43" spans="1:17" s="936" customFormat="1">
      <c r="A43" s="1082"/>
      <c r="B43" s="1176">
        <f>margins!AP32</f>
        <v>11</v>
      </c>
      <c r="C43" s="1321">
        <v>110.34699999999999</v>
      </c>
      <c r="D43" s="1323">
        <v>109.59699999999999</v>
      </c>
      <c r="F43"/>
      <c r="G43"/>
      <c r="M43" s="940"/>
    </row>
    <row r="44" spans="1:17" s="936" customFormat="1">
      <c r="A44" s="1082"/>
      <c r="B44" s="1318">
        <f>margins!AP33</f>
        <v>11.125</v>
      </c>
      <c r="C44" s="1321">
        <v>110.59699999999999</v>
      </c>
      <c r="D44" s="1323">
        <v>109.84699999999999</v>
      </c>
      <c r="F44"/>
      <c r="G44"/>
      <c r="H44" s="1080"/>
      <c r="M44" s="940"/>
    </row>
    <row r="45" spans="1:17" s="936" customFormat="1">
      <c r="A45" s="1082"/>
      <c r="B45" s="1318">
        <f>margins!AP34</f>
        <v>11.25</v>
      </c>
      <c r="C45" s="1321">
        <v>110.84699999999999</v>
      </c>
      <c r="D45" s="1323">
        <v>110.09699999999999</v>
      </c>
      <c r="F45"/>
      <c r="G45"/>
      <c r="M45" s="940"/>
    </row>
    <row r="46" spans="1:17" s="936" customFormat="1">
      <c r="A46" s="1082"/>
      <c r="B46" s="1318">
        <f>margins!AP35</f>
        <v>11.375</v>
      </c>
      <c r="C46" s="1321">
        <v>111.09699999999999</v>
      </c>
      <c r="D46" s="1323">
        <v>110.34699999999999</v>
      </c>
      <c r="F46"/>
      <c r="G46"/>
      <c r="M46" s="940"/>
    </row>
    <row r="47" spans="1:17" s="936" customFormat="1">
      <c r="A47" s="1082"/>
      <c r="B47" s="1318">
        <f>margins!AP36</f>
        <v>11.5</v>
      </c>
      <c r="C47" s="1321">
        <v>111.34699999999999</v>
      </c>
      <c r="D47" s="1323">
        <v>110.59699999999999</v>
      </c>
      <c r="M47" s="940"/>
    </row>
    <row r="48" spans="1:17" s="936" customFormat="1">
      <c r="A48" s="1082"/>
      <c r="B48" s="1318">
        <f>margins!AP37</f>
        <v>11.625</v>
      </c>
      <c r="C48" s="1321">
        <v>111.47199999999999</v>
      </c>
      <c r="D48" s="1323">
        <v>110.84699999999999</v>
      </c>
      <c r="M48" s="940"/>
    </row>
    <row r="49" spans="1:13" s="936" customFormat="1">
      <c r="A49" s="1082"/>
      <c r="B49" s="1318">
        <f>margins!AP38</f>
        <v>11.75</v>
      </c>
      <c r="C49" s="1321">
        <v>111.59699999999999</v>
      </c>
      <c r="D49" s="1323">
        <v>111.09699999999999</v>
      </c>
      <c r="M49" s="940"/>
    </row>
    <row r="50" spans="1:13" s="936" customFormat="1">
      <c r="A50" s="1082"/>
      <c r="B50" s="1318">
        <f>margins!AP39</f>
        <v>11.875</v>
      </c>
      <c r="C50" s="1321">
        <v>111.72199999999999</v>
      </c>
      <c r="D50" s="1323">
        <v>111.34699999999999</v>
      </c>
      <c r="M50" s="940"/>
    </row>
    <row r="51" spans="1:13" s="936" customFormat="1">
      <c r="A51" s="1082"/>
      <c r="B51" s="1318">
        <f>margins!AP40</f>
        <v>12</v>
      </c>
      <c r="C51" s="1321">
        <v>111.84699999999999</v>
      </c>
      <c r="D51" s="1323">
        <v>111.47199999999999</v>
      </c>
      <c r="K51" s="1211"/>
      <c r="L51" s="1211"/>
      <c r="M51" s="1313"/>
    </row>
    <row r="52" spans="1:13" s="936" customFormat="1">
      <c r="A52" s="1082"/>
      <c r="B52" s="1318">
        <f>margins!AP41</f>
        <v>12.125</v>
      </c>
      <c r="C52" s="1321">
        <v>111.97199999999999</v>
      </c>
      <c r="D52" s="1323">
        <v>111.59699999999999</v>
      </c>
      <c r="K52" s="1128"/>
      <c r="L52" s="1128"/>
      <c r="M52" s="1310"/>
    </row>
    <row r="53" spans="1:13" s="936" customFormat="1">
      <c r="A53" s="1082"/>
      <c r="B53" s="1318">
        <f>margins!AP42</f>
        <v>12.25</v>
      </c>
      <c r="C53" s="1321">
        <v>112.09699999999999</v>
      </c>
      <c r="D53" s="1323">
        <v>111.72199999999999</v>
      </c>
      <c r="M53" s="940"/>
    </row>
    <row r="54" spans="1:13" s="936" customFormat="1">
      <c r="A54" s="1082"/>
      <c r="B54" s="1318">
        <f>margins!AP43</f>
        <v>12.375</v>
      </c>
      <c r="C54" s="1321">
        <v>112.22199999999999</v>
      </c>
      <c r="D54" s="1323">
        <v>111.84699999999999</v>
      </c>
      <c r="M54" s="940"/>
    </row>
    <row r="55" spans="1:13" s="936" customFormat="1">
      <c r="A55" s="1082"/>
      <c r="B55" s="1318">
        <f>margins!AP44</f>
        <v>12.5</v>
      </c>
      <c r="C55" s="1321">
        <v>112.34699999999999</v>
      </c>
      <c r="D55" s="1323">
        <v>111.97199999999999</v>
      </c>
      <c r="M55" s="940"/>
    </row>
    <row r="56" spans="1:13" s="936" customFormat="1">
      <c r="A56" s="1082"/>
      <c r="B56" s="1318">
        <f>margins!AP45</f>
        <v>12.625</v>
      </c>
      <c r="C56" s="1321">
        <v>112.47199999999999</v>
      </c>
      <c r="D56" s="1323">
        <v>112.09699999999999</v>
      </c>
      <c r="M56" s="940"/>
    </row>
    <row r="57" spans="1:13" s="936" customFormat="1">
      <c r="A57" s="1082"/>
      <c r="B57" s="1318">
        <f>margins!AP46</f>
        <v>12.75</v>
      </c>
      <c r="C57" s="1321">
        <v>112.59699999999999</v>
      </c>
      <c r="D57" s="1323">
        <v>112.22199999999999</v>
      </c>
      <c r="M57" s="940"/>
    </row>
    <row r="58" spans="1:13" s="936" customFormat="1">
      <c r="A58" s="1082"/>
      <c r="B58" s="1318">
        <f>margins!AP47</f>
        <v>12.875</v>
      </c>
      <c r="C58" s="1321">
        <v>112.72199999999999</v>
      </c>
      <c r="D58" s="1323">
        <v>112.34699999999999</v>
      </c>
      <c r="M58" s="940"/>
    </row>
    <row r="59" spans="1:13" s="936" customFormat="1">
      <c r="A59" s="1082"/>
      <c r="B59" s="1318">
        <f>margins!AP48</f>
        <v>13</v>
      </c>
      <c r="C59" s="1321">
        <v>112.84699999999999</v>
      </c>
      <c r="D59" s="1323">
        <v>112.47199999999999</v>
      </c>
      <c r="M59" s="940"/>
    </row>
    <row r="60" spans="1:13" s="936" customFormat="1" ht="15.75" thickBot="1">
      <c r="A60" s="1082"/>
      <c r="B60" s="1328">
        <f>margins!AP49</f>
        <v>13.125</v>
      </c>
      <c r="C60" s="1329">
        <v>112.97199999999999</v>
      </c>
      <c r="D60" s="1330">
        <v>112.59699999999999</v>
      </c>
      <c r="M60" s="940"/>
    </row>
    <row r="61" spans="1:13" s="936" customFormat="1">
      <c r="A61" s="1082"/>
      <c r="B61"/>
      <c r="M61" s="940"/>
    </row>
    <row r="62" spans="1:13" s="936" customFormat="1" ht="15.75" thickBot="1">
      <c r="A62" s="1082"/>
      <c r="C62" s="1150"/>
      <c r="D62" s="1150"/>
      <c r="E62" s="1150"/>
      <c r="F62" s="1158"/>
      <c r="G62" s="1203"/>
      <c r="H62" s="1158"/>
      <c r="I62" s="1158"/>
      <c r="J62" s="1203"/>
      <c r="K62" s="1203"/>
      <c r="L62" s="1203"/>
      <c r="M62" s="1279"/>
    </row>
    <row r="63" spans="1:13" s="936" customFormat="1" ht="15" customHeight="1" thickBot="1">
      <c r="A63" s="1082"/>
      <c r="B63" s="1081" t="s">
        <v>216</v>
      </c>
      <c r="C63" s="1081"/>
      <c r="D63" s="1736" t="s">
        <v>298</v>
      </c>
      <c r="E63" s="1737"/>
      <c r="F63" s="1737"/>
      <c r="G63" s="1737"/>
      <c r="H63" s="1737"/>
      <c r="I63" s="1737"/>
      <c r="J63" s="1737"/>
      <c r="K63" s="1737"/>
      <c r="L63" s="1738"/>
      <c r="M63" s="1279"/>
    </row>
    <row r="64" spans="1:13" s="936" customFormat="1" ht="15.75" thickBot="1">
      <c r="A64" s="1082"/>
      <c r="B64" s="1286"/>
      <c r="C64" s="1294" t="s">
        <v>191</v>
      </c>
      <c r="D64" s="1100" t="s">
        <v>15</v>
      </c>
      <c r="E64" s="1100" t="s">
        <v>16</v>
      </c>
      <c r="F64" s="1100" t="s">
        <v>17</v>
      </c>
      <c r="G64" s="1197" t="s">
        <v>18</v>
      </c>
      <c r="H64" s="1355" t="s">
        <v>19</v>
      </c>
      <c r="I64" s="1100" t="s">
        <v>20</v>
      </c>
      <c r="J64" s="1100" t="s">
        <v>21</v>
      </c>
      <c r="K64" s="1100" t="s">
        <v>22</v>
      </c>
      <c r="L64" s="1099" t="s">
        <v>23</v>
      </c>
      <c r="M64" s="1279"/>
    </row>
    <row r="65" spans="1:13" s="936" customFormat="1">
      <c r="A65" s="1082"/>
      <c r="B65" s="1772" t="s">
        <v>190</v>
      </c>
      <c r="C65" s="1272" t="s">
        <v>377</v>
      </c>
      <c r="D65" s="1091">
        <v>3</v>
      </c>
      <c r="E65" s="1091">
        <v>2.875</v>
      </c>
      <c r="F65" s="1091">
        <v>2.875</v>
      </c>
      <c r="G65" s="1091">
        <v>2.75</v>
      </c>
      <c r="H65" s="1091">
        <v>2.5</v>
      </c>
      <c r="I65" s="1091">
        <v>2</v>
      </c>
      <c r="J65" s="1091">
        <v>0.875</v>
      </c>
      <c r="K65" s="1091">
        <v>-2</v>
      </c>
      <c r="L65" s="1090">
        <v>-3.5</v>
      </c>
      <c r="M65" s="1279"/>
    </row>
    <row r="66" spans="1:13" s="936" customFormat="1">
      <c r="A66" s="1082"/>
      <c r="B66" s="1760"/>
      <c r="C66" s="1273" t="s">
        <v>294</v>
      </c>
      <c r="D66" s="1094">
        <v>3</v>
      </c>
      <c r="E66" s="1094">
        <v>2.875</v>
      </c>
      <c r="F66" s="1094">
        <v>2.875</v>
      </c>
      <c r="G66" s="1094">
        <v>2.625</v>
      </c>
      <c r="H66" s="1094">
        <v>2.25</v>
      </c>
      <c r="I66" s="1094">
        <v>1.375</v>
      </c>
      <c r="J66" s="1094">
        <v>0.5</v>
      </c>
      <c r="K66" s="1094">
        <v>-2.875</v>
      </c>
      <c r="L66" s="1093">
        <v>-4.5</v>
      </c>
      <c r="M66" s="1279"/>
    </row>
    <row r="67" spans="1:13" s="936" customFormat="1">
      <c r="A67" s="1082"/>
      <c r="B67" s="1760"/>
      <c r="C67" s="1273" t="s">
        <v>293</v>
      </c>
      <c r="D67" s="1094">
        <v>2</v>
      </c>
      <c r="E67" s="1094">
        <v>1.875</v>
      </c>
      <c r="F67" s="1094">
        <v>1.875</v>
      </c>
      <c r="G67" s="1094">
        <v>1.375</v>
      </c>
      <c r="H67" s="1094">
        <v>1</v>
      </c>
      <c r="I67" s="1094">
        <v>0.75</v>
      </c>
      <c r="J67" s="1094">
        <v>-0.5</v>
      </c>
      <c r="K67" s="1094">
        <v>-4</v>
      </c>
      <c r="L67" s="1093">
        <v>-6.5</v>
      </c>
      <c r="M67" s="1279"/>
    </row>
    <row r="68" spans="1:13" s="936" customFormat="1">
      <c r="A68" s="1082"/>
      <c r="B68" s="1760"/>
      <c r="C68" s="1273" t="s">
        <v>292</v>
      </c>
      <c r="D68" s="1094">
        <v>1.25</v>
      </c>
      <c r="E68" s="1094">
        <v>1.25</v>
      </c>
      <c r="F68" s="1094">
        <v>1.25</v>
      </c>
      <c r="G68" s="1094">
        <v>1</v>
      </c>
      <c r="H68" s="1094">
        <v>0.625</v>
      </c>
      <c r="I68" s="1094">
        <v>0.25</v>
      </c>
      <c r="J68" s="1094">
        <v>-1.75</v>
      </c>
      <c r="K68" s="1094">
        <v>-5.5</v>
      </c>
      <c r="L68" s="1093">
        <v>-8.5</v>
      </c>
      <c r="M68" s="1279"/>
    </row>
    <row r="69" spans="1:13" s="936" customFormat="1">
      <c r="A69" s="1082"/>
      <c r="B69" s="1760"/>
      <c r="C69" s="1273" t="s">
        <v>291</v>
      </c>
      <c r="D69" s="1094">
        <v>0.875</v>
      </c>
      <c r="E69" s="1094">
        <v>0.875</v>
      </c>
      <c r="F69" s="1094">
        <v>0.875</v>
      </c>
      <c r="G69" s="1094">
        <v>0.5</v>
      </c>
      <c r="H69" s="1094">
        <v>0.125</v>
      </c>
      <c r="I69" s="1094">
        <v>-0.5</v>
      </c>
      <c r="J69" s="1094">
        <v>-2.75</v>
      </c>
      <c r="K69" s="1094">
        <v>-7</v>
      </c>
      <c r="L69" s="1093" t="s">
        <v>14</v>
      </c>
      <c r="M69" s="1279"/>
    </row>
    <row r="70" spans="1:13" s="936" customFormat="1">
      <c r="A70" s="1082"/>
      <c r="B70" s="1760"/>
      <c r="C70" s="1273" t="s">
        <v>290</v>
      </c>
      <c r="D70" s="1094">
        <v>0.375</v>
      </c>
      <c r="E70" s="1094">
        <v>0.375</v>
      </c>
      <c r="F70" s="1094">
        <v>0.375</v>
      </c>
      <c r="G70" s="1094">
        <v>-0.125</v>
      </c>
      <c r="H70" s="1094">
        <v>-1</v>
      </c>
      <c r="I70" s="1094">
        <v>-2</v>
      </c>
      <c r="J70" s="1094">
        <v>-5</v>
      </c>
      <c r="K70" s="1094">
        <v>-8</v>
      </c>
      <c r="L70" s="1093" t="s">
        <v>14</v>
      </c>
      <c r="M70" s="1279"/>
    </row>
    <row r="71" spans="1:13" s="936" customFormat="1" ht="15.75" thickBot="1">
      <c r="A71" s="1082"/>
      <c r="B71" s="1773"/>
      <c r="C71" s="1089" t="s">
        <v>289</v>
      </c>
      <c r="D71" s="1156">
        <v>-0.25</v>
      </c>
      <c r="E71" s="1156">
        <v>-0.5</v>
      </c>
      <c r="F71" s="1156">
        <v>-0.75</v>
      </c>
      <c r="G71" s="1156">
        <v>-1</v>
      </c>
      <c r="H71" s="1156">
        <v>-3</v>
      </c>
      <c r="I71" s="1156">
        <v>-4</v>
      </c>
      <c r="J71" s="1156" t="s">
        <v>14</v>
      </c>
      <c r="K71" s="1156" t="s">
        <v>14</v>
      </c>
      <c r="L71" s="1155" t="s">
        <v>14</v>
      </c>
      <c r="M71" s="1279"/>
    </row>
    <row r="72" spans="1:13" s="936" customFormat="1" ht="15.75" thickBot="1">
      <c r="A72" s="1082"/>
      <c r="B72" s="1761" t="s">
        <v>344</v>
      </c>
      <c r="C72" s="1763"/>
      <c r="D72" s="1097">
        <v>0</v>
      </c>
      <c r="E72" s="1097">
        <v>0</v>
      </c>
      <c r="F72" s="1097">
        <v>0</v>
      </c>
      <c r="G72" s="1097">
        <v>0</v>
      </c>
      <c r="H72" s="1097">
        <v>-0.125</v>
      </c>
      <c r="I72" s="1097">
        <v>-0.125</v>
      </c>
      <c r="J72" s="1097">
        <v>-0.125</v>
      </c>
      <c r="K72" s="1097">
        <v>-0.25</v>
      </c>
      <c r="L72" s="1096">
        <v>-0.375</v>
      </c>
      <c r="M72" s="1279"/>
    </row>
    <row r="73" spans="1:13" s="936" customFormat="1">
      <c r="A73" s="1082"/>
      <c r="B73" s="1213"/>
      <c r="C73" s="1272" t="s">
        <v>377</v>
      </c>
      <c r="D73" s="1091">
        <v>3</v>
      </c>
      <c r="E73" s="1091">
        <v>2.875</v>
      </c>
      <c r="F73" s="1091">
        <v>2.875</v>
      </c>
      <c r="G73" s="1091">
        <v>2.75</v>
      </c>
      <c r="H73" s="1091">
        <v>2.5</v>
      </c>
      <c r="I73" s="1091">
        <v>2</v>
      </c>
      <c r="J73" s="1091">
        <v>0.875</v>
      </c>
      <c r="K73" s="1091">
        <v>-2.25</v>
      </c>
      <c r="L73" s="1090" t="s">
        <v>14</v>
      </c>
      <c r="M73" s="1279"/>
    </row>
    <row r="74" spans="1:13" s="936" customFormat="1">
      <c r="A74" s="1082"/>
      <c r="B74" s="1273" t="s">
        <v>5</v>
      </c>
      <c r="C74" s="1273" t="s">
        <v>294</v>
      </c>
      <c r="D74" s="1094">
        <v>3</v>
      </c>
      <c r="E74" s="1094">
        <v>2.875</v>
      </c>
      <c r="F74" s="1094">
        <v>2.875</v>
      </c>
      <c r="G74" s="1094">
        <v>2.625</v>
      </c>
      <c r="H74" s="1094">
        <v>2.25</v>
      </c>
      <c r="I74" s="1094">
        <v>1.375</v>
      </c>
      <c r="J74" s="1094">
        <v>0.5</v>
      </c>
      <c r="K74" s="1094">
        <v>-3.125</v>
      </c>
      <c r="L74" s="1093" t="s">
        <v>14</v>
      </c>
      <c r="M74" s="1279"/>
    </row>
    <row r="75" spans="1:13" s="936" customFormat="1">
      <c r="A75" s="1082"/>
      <c r="B75" s="1758" t="s">
        <v>38</v>
      </c>
      <c r="C75" s="1273" t="s">
        <v>293</v>
      </c>
      <c r="D75" s="1094">
        <v>2</v>
      </c>
      <c r="E75" s="1094">
        <v>1.875</v>
      </c>
      <c r="F75" s="1094">
        <v>1.875</v>
      </c>
      <c r="G75" s="1094">
        <v>1.375</v>
      </c>
      <c r="H75" s="1094">
        <v>1</v>
      </c>
      <c r="I75" s="1094">
        <v>0.75</v>
      </c>
      <c r="J75" s="1094">
        <v>-0.5</v>
      </c>
      <c r="K75" s="1094">
        <v>-4.25</v>
      </c>
      <c r="L75" s="1093" t="s">
        <v>14</v>
      </c>
      <c r="M75" s="1279"/>
    </row>
    <row r="76" spans="1:13" s="936" customFormat="1">
      <c r="A76" s="1082"/>
      <c r="B76" s="1758"/>
      <c r="C76" s="1273" t="s">
        <v>292</v>
      </c>
      <c r="D76" s="1094">
        <v>1.25</v>
      </c>
      <c r="E76" s="1094">
        <v>1.25</v>
      </c>
      <c r="F76" s="1094">
        <v>1.25</v>
      </c>
      <c r="G76" s="1094">
        <v>1</v>
      </c>
      <c r="H76" s="1094">
        <v>0.625</v>
      </c>
      <c r="I76" s="1094">
        <v>0.25</v>
      </c>
      <c r="J76" s="1094">
        <v>-1.75</v>
      </c>
      <c r="K76" s="1094">
        <v>-6</v>
      </c>
      <c r="L76" s="1093" t="s">
        <v>14</v>
      </c>
      <c r="M76" s="1279"/>
    </row>
    <row r="77" spans="1:13" s="936" customFormat="1">
      <c r="A77" s="1082"/>
      <c r="B77" s="1273" t="s">
        <v>39</v>
      </c>
      <c r="C77" s="1273" t="s">
        <v>291</v>
      </c>
      <c r="D77" s="1094">
        <v>0.875</v>
      </c>
      <c r="E77" s="1094">
        <v>0.875</v>
      </c>
      <c r="F77" s="1094">
        <v>0.875</v>
      </c>
      <c r="G77" s="1094">
        <v>0.5</v>
      </c>
      <c r="H77" s="1094">
        <v>0.125</v>
      </c>
      <c r="I77" s="1094">
        <v>-0.5</v>
      </c>
      <c r="J77" s="1094">
        <v>-2.75</v>
      </c>
      <c r="K77" s="1094" t="s">
        <v>14</v>
      </c>
      <c r="L77" s="1093" t="s">
        <v>14</v>
      </c>
      <c r="M77" s="1279"/>
    </row>
    <row r="78" spans="1:13" s="936" customFormat="1">
      <c r="A78" s="1082"/>
      <c r="B78" s="1273" t="s">
        <v>88</v>
      </c>
      <c r="C78" s="1273" t="s">
        <v>290</v>
      </c>
      <c r="D78" s="1094">
        <v>0.125</v>
      </c>
      <c r="E78" s="1094">
        <v>0.125</v>
      </c>
      <c r="F78" s="1094">
        <v>0.125</v>
      </c>
      <c r="G78" s="1094">
        <v>-0.375</v>
      </c>
      <c r="H78" s="1094">
        <v>-1.25</v>
      </c>
      <c r="I78" s="1094">
        <v>-2.25</v>
      </c>
      <c r="J78" s="1094">
        <v>-5.5</v>
      </c>
      <c r="K78" s="1094" t="s">
        <v>14</v>
      </c>
      <c r="L78" s="1093" t="s">
        <v>14</v>
      </c>
      <c r="M78" s="1279"/>
    </row>
    <row r="79" spans="1:13" s="936" customFormat="1" ht="15.75" thickBot="1">
      <c r="A79" s="1082"/>
      <c r="B79" s="1281"/>
      <c r="C79" s="1089" t="s">
        <v>289</v>
      </c>
      <c r="D79" s="1156">
        <v>-0.5</v>
      </c>
      <c r="E79" s="1156">
        <v>-0.75</v>
      </c>
      <c r="F79" s="1156">
        <v>-1</v>
      </c>
      <c r="G79" s="1156">
        <v>-1.25</v>
      </c>
      <c r="H79" s="1156">
        <v>-3.25</v>
      </c>
      <c r="I79" s="1156">
        <v>-4.5</v>
      </c>
      <c r="J79" s="1156" t="s">
        <v>14</v>
      </c>
      <c r="K79" s="1156" t="s">
        <v>14</v>
      </c>
      <c r="L79" s="1155" t="s">
        <v>14</v>
      </c>
      <c r="M79" s="1279"/>
    </row>
    <row r="80" spans="1:13" s="936" customFormat="1">
      <c r="A80" s="1082"/>
      <c r="B80" s="1772" t="s">
        <v>448</v>
      </c>
      <c r="C80" s="1272" t="s">
        <v>43</v>
      </c>
      <c r="D80" s="1091">
        <v>0</v>
      </c>
      <c r="E80" s="1091">
        <v>0</v>
      </c>
      <c r="F80" s="1091">
        <v>0</v>
      </c>
      <c r="G80" s="1091">
        <v>0</v>
      </c>
      <c r="H80" s="1091">
        <v>-0.125</v>
      </c>
      <c r="I80" s="1091">
        <v>-0.125</v>
      </c>
      <c r="J80" s="1091">
        <v>-0.125</v>
      </c>
      <c r="K80" s="1091">
        <v>-0.25</v>
      </c>
      <c r="L80" s="1090" t="s">
        <v>14</v>
      </c>
      <c r="M80" s="1279"/>
    </row>
    <row r="81" spans="1:13" s="936" customFormat="1">
      <c r="A81" s="1082"/>
      <c r="B81" s="1760"/>
      <c r="C81" s="1273" t="s">
        <v>44</v>
      </c>
      <c r="D81" s="1094">
        <v>0</v>
      </c>
      <c r="E81" s="1094">
        <v>0</v>
      </c>
      <c r="F81" s="1094">
        <v>0</v>
      </c>
      <c r="G81" s="1094">
        <v>0</v>
      </c>
      <c r="H81" s="1094">
        <v>-0.125</v>
      </c>
      <c r="I81" s="1094">
        <v>-0.125</v>
      </c>
      <c r="J81" s="1094">
        <v>-0.125</v>
      </c>
      <c r="K81" s="1094">
        <v>-0.25</v>
      </c>
      <c r="L81" s="1093" t="s">
        <v>14</v>
      </c>
      <c r="M81" s="1279"/>
    </row>
    <row r="82" spans="1:13" s="936" customFormat="1" ht="15.75" thickBot="1">
      <c r="A82" s="1082"/>
      <c r="B82" s="1773"/>
      <c r="C82" s="1089" t="s">
        <v>88</v>
      </c>
      <c r="D82" s="1156">
        <v>-0.25</v>
      </c>
      <c r="E82" s="1156">
        <v>-0.25</v>
      </c>
      <c r="F82" s="1156">
        <v>-0.25</v>
      </c>
      <c r="G82" s="1156">
        <v>-0.25</v>
      </c>
      <c r="H82" s="1156">
        <v>-0.25</v>
      </c>
      <c r="I82" s="1156">
        <v>-0.375</v>
      </c>
      <c r="J82" s="1156">
        <v>-0.375</v>
      </c>
      <c r="K82" s="1156" t="s">
        <v>14</v>
      </c>
      <c r="L82" s="1155" t="s">
        <v>14</v>
      </c>
      <c r="M82" s="1279"/>
    </row>
    <row r="83" spans="1:13" s="936" customFormat="1">
      <c r="A83" s="1082"/>
      <c r="B83" s="1772" t="s">
        <v>198</v>
      </c>
      <c r="C83" s="1272" t="s">
        <v>283</v>
      </c>
      <c r="D83" s="1091">
        <v>0.10000000000002274</v>
      </c>
      <c r="E83" s="1091">
        <v>0.10000000000002274</v>
      </c>
      <c r="F83" s="1091">
        <v>0.10000000000002274</v>
      </c>
      <c r="G83" s="1091">
        <v>0.10000000000002274</v>
      </c>
      <c r="H83" s="1091">
        <v>0.10000000000002274</v>
      </c>
      <c r="I83" s="1091">
        <v>0.10000000000002274</v>
      </c>
      <c r="J83" s="1091">
        <v>0.10000000000002274</v>
      </c>
      <c r="K83" s="1091">
        <v>0.10000000000002274</v>
      </c>
      <c r="L83" s="1090">
        <v>0.10000000000002274</v>
      </c>
      <c r="M83" s="1279"/>
    </row>
    <row r="84" spans="1:13" s="936" customFormat="1">
      <c r="A84" s="1082"/>
      <c r="B84" s="1760"/>
      <c r="C84" s="1273" t="s">
        <v>282</v>
      </c>
      <c r="D84" s="1094">
        <v>0.10000000000002274</v>
      </c>
      <c r="E84" s="1094">
        <v>0.10000000000002274</v>
      </c>
      <c r="F84" s="1094">
        <v>0.10000000000002274</v>
      </c>
      <c r="G84" s="1094">
        <v>0.10000000000002274</v>
      </c>
      <c r="H84" s="1094">
        <v>0.10000000000002274</v>
      </c>
      <c r="I84" s="1094">
        <v>0.10000000000002274</v>
      </c>
      <c r="J84" s="1094">
        <v>0.10000000000002274</v>
      </c>
      <c r="K84" s="1094">
        <v>0.10000000000002274</v>
      </c>
      <c r="L84" s="1093">
        <v>0.10000000000002274</v>
      </c>
      <c r="M84" s="1279"/>
    </row>
    <row r="85" spans="1:13" s="936" customFormat="1">
      <c r="A85" s="1082"/>
      <c r="B85" s="1760"/>
      <c r="C85" s="1273" t="s">
        <v>281</v>
      </c>
      <c r="D85" s="1094">
        <v>0.10000000000002274</v>
      </c>
      <c r="E85" s="1094">
        <v>0.10000000000002274</v>
      </c>
      <c r="F85" s="1094">
        <v>0.10000000000002274</v>
      </c>
      <c r="G85" s="1094">
        <v>0.10000000000002274</v>
      </c>
      <c r="H85" s="1094">
        <v>0.10000000000002274</v>
      </c>
      <c r="I85" s="1094">
        <v>0.10000000000002274</v>
      </c>
      <c r="J85" s="1094">
        <v>0.10000000000002274</v>
      </c>
      <c r="K85" s="1094">
        <v>0.10000000000002274</v>
      </c>
      <c r="L85" s="1093">
        <v>0.10000000000002274</v>
      </c>
      <c r="M85" s="1279"/>
    </row>
    <row r="86" spans="1:13" s="936" customFormat="1">
      <c r="A86" s="1082"/>
      <c r="B86" s="1760"/>
      <c r="C86" s="1273" t="s">
        <v>363</v>
      </c>
      <c r="D86" s="1094">
        <v>0.10000000000002274</v>
      </c>
      <c r="E86" s="1094">
        <v>0.10000000000002274</v>
      </c>
      <c r="F86" s="1094">
        <v>0.10000000000002274</v>
      </c>
      <c r="G86" s="1094">
        <v>0.10000000000002274</v>
      </c>
      <c r="H86" s="1094">
        <v>0.10000000000002274</v>
      </c>
      <c r="I86" s="1094">
        <v>0.10000000000002274</v>
      </c>
      <c r="J86" s="1094">
        <v>0.10000000000002274</v>
      </c>
      <c r="K86" s="1094">
        <v>0.10000000000002274</v>
      </c>
      <c r="L86" s="1093">
        <v>0.10000000000002274</v>
      </c>
      <c r="M86" s="1279"/>
    </row>
    <row r="87" spans="1:13" s="936" customFormat="1" ht="15.75" thickBot="1">
      <c r="A87" s="1082"/>
      <c r="B87" s="1773"/>
      <c r="C87" s="1089" t="s">
        <v>280</v>
      </c>
      <c r="D87" s="1156">
        <v>0</v>
      </c>
      <c r="E87" s="1156">
        <v>0</v>
      </c>
      <c r="F87" s="1156">
        <v>0</v>
      </c>
      <c r="G87" s="1156">
        <v>0</v>
      </c>
      <c r="H87" s="1156">
        <v>0</v>
      </c>
      <c r="I87" s="1156">
        <v>0</v>
      </c>
      <c r="J87" s="1156">
        <v>0</v>
      </c>
      <c r="K87" s="1156">
        <v>0</v>
      </c>
      <c r="L87" s="1155">
        <v>0</v>
      </c>
      <c r="M87" s="1279"/>
    </row>
    <row r="88" spans="1:13" s="936" customFormat="1">
      <c r="A88" s="1082"/>
      <c r="B88" s="1772" t="s">
        <v>279</v>
      </c>
      <c r="C88" s="1273" t="s">
        <v>657</v>
      </c>
      <c r="D88" s="1153">
        <v>-0.25</v>
      </c>
      <c r="E88" s="1153">
        <v>-0.25</v>
      </c>
      <c r="F88" s="1153">
        <v>-0.25</v>
      </c>
      <c r="G88" s="1153">
        <v>-0.25</v>
      </c>
      <c r="H88" s="1153">
        <v>-0.25</v>
      </c>
      <c r="I88" s="1153">
        <v>-0.25</v>
      </c>
      <c r="J88" s="1153">
        <v>-0.25</v>
      </c>
      <c r="K88" s="1153">
        <v>-0.375</v>
      </c>
      <c r="L88" s="1152">
        <v>-0.375</v>
      </c>
      <c r="M88" s="1279"/>
    </row>
    <row r="89" spans="1:13" s="936" customFormat="1">
      <c r="A89" s="1082"/>
      <c r="B89" s="1760"/>
      <c r="C89" s="1273" t="s">
        <v>379</v>
      </c>
      <c r="D89" s="1094">
        <v>-0.125</v>
      </c>
      <c r="E89" s="1094">
        <v>-0.125</v>
      </c>
      <c r="F89" s="1094">
        <v>-0.125</v>
      </c>
      <c r="G89" s="1094">
        <v>-0.125</v>
      </c>
      <c r="H89" s="1094">
        <v>-0.125</v>
      </c>
      <c r="I89" s="1094">
        <v>-0.125</v>
      </c>
      <c r="J89" s="1094">
        <v>-0.125</v>
      </c>
      <c r="K89" s="1094">
        <v>-0.25</v>
      </c>
      <c r="L89" s="1093">
        <v>-0.25</v>
      </c>
      <c r="M89" s="1279"/>
    </row>
    <row r="90" spans="1:13" s="936" customFormat="1">
      <c r="A90" s="1082"/>
      <c r="B90" s="1760"/>
      <c r="C90" s="1273" t="s">
        <v>380</v>
      </c>
      <c r="D90" s="1094">
        <v>0</v>
      </c>
      <c r="E90" s="1094">
        <v>0</v>
      </c>
      <c r="F90" s="1094">
        <v>0</v>
      </c>
      <c r="G90" s="1094">
        <v>0</v>
      </c>
      <c r="H90" s="1094">
        <v>0</v>
      </c>
      <c r="I90" s="1094">
        <v>0</v>
      </c>
      <c r="J90" s="1094">
        <v>0</v>
      </c>
      <c r="K90" s="1094">
        <v>0</v>
      </c>
      <c r="L90" s="1093">
        <v>0</v>
      </c>
      <c r="M90" s="1279"/>
    </row>
    <row r="91" spans="1:13" s="936" customFormat="1">
      <c r="A91" s="1082"/>
      <c r="B91" s="1760"/>
      <c r="C91" s="1273" t="s">
        <v>381</v>
      </c>
      <c r="D91" s="1094">
        <v>0.25</v>
      </c>
      <c r="E91" s="1094">
        <v>0.25</v>
      </c>
      <c r="F91" s="1094">
        <v>0.25</v>
      </c>
      <c r="G91" s="1094">
        <v>0.25</v>
      </c>
      <c r="H91" s="1094">
        <v>0.25</v>
      </c>
      <c r="I91" s="1094">
        <v>0.25</v>
      </c>
      <c r="J91" s="1094">
        <v>0.25</v>
      </c>
      <c r="K91" s="1094">
        <v>0</v>
      </c>
      <c r="L91" s="1093">
        <v>0</v>
      </c>
      <c r="M91" s="1314"/>
    </row>
    <row r="92" spans="1:13" s="936" customFormat="1" ht="15.75" thickBot="1">
      <c r="A92" s="1082"/>
      <c r="B92" s="1760"/>
      <c r="C92" s="1273" t="s">
        <v>382</v>
      </c>
      <c r="D92" s="1172">
        <v>0.375</v>
      </c>
      <c r="E92" s="1172">
        <v>0.375</v>
      </c>
      <c r="F92" s="1172">
        <v>0.375</v>
      </c>
      <c r="G92" s="1172">
        <v>0.375</v>
      </c>
      <c r="H92" s="1172">
        <v>0.375</v>
      </c>
      <c r="I92" s="1172">
        <v>0.375</v>
      </c>
      <c r="J92" s="1172">
        <v>0.375</v>
      </c>
      <c r="K92" s="1172">
        <v>0</v>
      </c>
      <c r="L92" s="1171" t="s">
        <v>14</v>
      </c>
      <c r="M92" s="1315"/>
    </row>
    <row r="93" spans="1:13" s="936" customFormat="1">
      <c r="A93" s="1082"/>
      <c r="B93" s="1772" t="s">
        <v>60</v>
      </c>
      <c r="C93" s="1272" t="s">
        <v>29</v>
      </c>
      <c r="D93" s="1091">
        <v>-1</v>
      </c>
      <c r="E93" s="1091">
        <v>-1</v>
      </c>
      <c r="F93" s="1091">
        <v>-1</v>
      </c>
      <c r="G93" s="1091">
        <v>-1</v>
      </c>
      <c r="H93" s="1091">
        <v>-1</v>
      </c>
      <c r="I93" s="1091">
        <v>-1</v>
      </c>
      <c r="J93" s="1091">
        <v>-1</v>
      </c>
      <c r="K93" s="1091" t="s">
        <v>14</v>
      </c>
      <c r="L93" s="1090" t="s">
        <v>14</v>
      </c>
      <c r="M93" s="940"/>
    </row>
    <row r="94" spans="1:13" s="936" customFormat="1" ht="15.75" thickBot="1">
      <c r="A94" s="1082"/>
      <c r="B94" s="1773"/>
      <c r="C94" s="1089" t="s">
        <v>61</v>
      </c>
      <c r="D94" s="1156">
        <v>-1.875</v>
      </c>
      <c r="E94" s="1156">
        <v>-1.875</v>
      </c>
      <c r="F94" s="1156">
        <v>-2.375</v>
      </c>
      <c r="G94" s="1156">
        <v>-2.875</v>
      </c>
      <c r="H94" s="1156">
        <v>-3.375</v>
      </c>
      <c r="I94" s="1156">
        <v>-4</v>
      </c>
      <c r="J94" s="1156" t="s">
        <v>14</v>
      </c>
      <c r="K94" s="1156" t="s">
        <v>14</v>
      </c>
      <c r="L94" s="1155" t="s">
        <v>14</v>
      </c>
      <c r="M94" s="940"/>
    </row>
    <row r="95" spans="1:13" s="936" customFormat="1">
      <c r="A95" s="1082"/>
      <c r="B95" s="1772" t="s">
        <v>45</v>
      </c>
      <c r="C95" s="1272" t="s">
        <v>374</v>
      </c>
      <c r="D95" s="1091">
        <v>0</v>
      </c>
      <c r="E95" s="1091">
        <v>0</v>
      </c>
      <c r="F95" s="1091">
        <v>0</v>
      </c>
      <c r="G95" s="1091">
        <v>0</v>
      </c>
      <c r="H95" s="1091">
        <v>0</v>
      </c>
      <c r="I95" s="1091">
        <v>0</v>
      </c>
      <c r="J95" s="1091">
        <v>0</v>
      </c>
      <c r="K95" s="1091">
        <v>0</v>
      </c>
      <c r="L95" s="1090">
        <v>0</v>
      </c>
      <c r="M95" s="940"/>
    </row>
    <row r="96" spans="1:13" s="936" customFormat="1">
      <c r="A96" s="1082"/>
      <c r="B96" s="1760"/>
      <c r="C96" s="1273" t="s">
        <v>375</v>
      </c>
      <c r="D96" s="1094">
        <v>-0.375</v>
      </c>
      <c r="E96" s="1094">
        <v>-0.375</v>
      </c>
      <c r="F96" s="1094">
        <v>-0.375</v>
      </c>
      <c r="G96" s="1094">
        <v>-0.375</v>
      </c>
      <c r="H96" s="1094">
        <v>-0.375</v>
      </c>
      <c r="I96" s="1094">
        <v>-0.375</v>
      </c>
      <c r="J96" s="1094">
        <v>-0.5</v>
      </c>
      <c r="K96" s="1094">
        <v>-0.75</v>
      </c>
      <c r="L96" s="1093">
        <v>-1</v>
      </c>
      <c r="M96" s="940"/>
    </row>
    <row r="97" spans="1:13" s="936" customFormat="1" ht="15.75" thickBot="1">
      <c r="A97" s="1082"/>
      <c r="B97" s="1773"/>
      <c r="C97" s="1089" t="s">
        <v>376</v>
      </c>
      <c r="D97" s="1156">
        <v>-0.5</v>
      </c>
      <c r="E97" s="1156">
        <v>-0.5</v>
      </c>
      <c r="F97" s="1156">
        <v>-0.5</v>
      </c>
      <c r="G97" s="1156">
        <v>-0.5</v>
      </c>
      <c r="H97" s="1156">
        <v>-0.5</v>
      </c>
      <c r="I97" s="1156">
        <v>-0.5</v>
      </c>
      <c r="J97" s="1156">
        <v>-0.75</v>
      </c>
      <c r="K97" s="1156" t="s">
        <v>14</v>
      </c>
      <c r="L97" s="1155" t="s">
        <v>14</v>
      </c>
      <c r="M97" s="940"/>
    </row>
    <row r="98" spans="1:13" s="936" customFormat="1" ht="15.75" thickBot="1">
      <c r="A98" s="1082"/>
      <c r="B98" s="1192" t="s">
        <v>631</v>
      </c>
      <c r="C98" s="1192" t="s">
        <v>503</v>
      </c>
      <c r="D98" s="1097">
        <v>-1</v>
      </c>
      <c r="E98" s="1097">
        <v>-1</v>
      </c>
      <c r="F98" s="1097">
        <v>-1.25</v>
      </c>
      <c r="G98" s="1097">
        <v>-1.25</v>
      </c>
      <c r="H98" s="1097">
        <v>-1.5</v>
      </c>
      <c r="I98" s="1097">
        <v>-1.5</v>
      </c>
      <c r="J98" s="1097">
        <v>-2</v>
      </c>
      <c r="K98" s="1097" t="s">
        <v>14</v>
      </c>
      <c r="L98" s="1096" t="s">
        <v>14</v>
      </c>
      <c r="M98" s="940"/>
    </row>
    <row r="99" spans="1:13" s="936" customFormat="1">
      <c r="A99" s="1082"/>
      <c r="B99" s="1772" t="s">
        <v>62</v>
      </c>
      <c r="C99" s="1273" t="s">
        <v>260</v>
      </c>
      <c r="D99" s="1153">
        <v>-0.25</v>
      </c>
      <c r="E99" s="1153">
        <v>-0.25</v>
      </c>
      <c r="F99" s="1153">
        <v>-0.25</v>
      </c>
      <c r="G99" s="1153">
        <v>-0.25</v>
      </c>
      <c r="H99" s="1153">
        <v>-0.375</v>
      </c>
      <c r="I99" s="1153">
        <v>-0.375</v>
      </c>
      <c r="J99" s="1153">
        <v>-0.5</v>
      </c>
      <c r="K99" s="1153" t="s">
        <v>14</v>
      </c>
      <c r="L99" s="1152" t="s">
        <v>14</v>
      </c>
      <c r="M99" s="940"/>
    </row>
    <row r="100" spans="1:13" s="936" customFormat="1" ht="15" customHeight="1" thickBot="1">
      <c r="A100" s="1082"/>
      <c r="B100" s="1773"/>
      <c r="C100" s="1089" t="s">
        <v>348</v>
      </c>
      <c r="D100" s="1156">
        <v>-0.5</v>
      </c>
      <c r="E100" s="1156">
        <v>-0.5</v>
      </c>
      <c r="F100" s="1156">
        <v>-0.5</v>
      </c>
      <c r="G100" s="1156">
        <v>-0.5</v>
      </c>
      <c r="H100" s="1156">
        <v>-0.5</v>
      </c>
      <c r="I100" s="1156">
        <v>-0.5</v>
      </c>
      <c r="J100" s="1156" t="s">
        <v>14</v>
      </c>
      <c r="K100" s="1156" t="s">
        <v>14</v>
      </c>
      <c r="L100" s="1155" t="s">
        <v>14</v>
      </c>
      <c r="M100" s="940"/>
    </row>
    <row r="101" spans="1:13" s="936" customFormat="1" ht="15" customHeight="1">
      <c r="A101" s="1082"/>
      <c r="B101"/>
      <c r="C101"/>
      <c r="D101"/>
      <c r="E101"/>
      <c r="F101"/>
      <c r="G101"/>
      <c r="H101"/>
      <c r="I101"/>
      <c r="M101" s="940"/>
    </row>
    <row r="102" spans="1:13" s="936" customFormat="1" ht="15" customHeight="1">
      <c r="A102" s="1082"/>
      <c r="B102"/>
      <c r="C102"/>
      <c r="D102"/>
      <c r="E102"/>
      <c r="F102"/>
      <c r="G102"/>
      <c r="H102"/>
      <c r="I102"/>
      <c r="M102" s="940"/>
    </row>
    <row r="103" spans="1:13" s="936" customFormat="1" ht="15" customHeight="1">
      <c r="A103" s="1082"/>
      <c r="B103"/>
      <c r="C103"/>
      <c r="D103"/>
      <c r="E103"/>
      <c r="F103"/>
      <c r="G103"/>
      <c r="H103"/>
      <c r="I103"/>
      <c r="M103" s="940"/>
    </row>
    <row r="104" spans="1:13" s="936" customFormat="1" ht="15" customHeight="1">
      <c r="A104" s="1082"/>
      <c r="B104"/>
      <c r="C104"/>
      <c r="D104"/>
      <c r="E104"/>
      <c r="F104"/>
      <c r="G104"/>
      <c r="H104"/>
      <c r="I104"/>
      <c r="M104" s="940"/>
    </row>
    <row r="105" spans="1:13" s="936" customFormat="1" ht="15" customHeight="1">
      <c r="A105" s="1082"/>
      <c r="B105"/>
      <c r="C105"/>
      <c r="D105"/>
      <c r="E105"/>
      <c r="F105"/>
      <c r="G105"/>
      <c r="H105"/>
      <c r="I105"/>
      <c r="M105" s="940"/>
    </row>
    <row r="106" spans="1:13" s="936" customFormat="1" ht="15" customHeight="1">
      <c r="A106" s="1082"/>
      <c r="B106"/>
      <c r="C106"/>
      <c r="D106"/>
      <c r="E106"/>
      <c r="F106"/>
      <c r="G106"/>
      <c r="H106"/>
      <c r="I106"/>
      <c r="M106" s="940"/>
    </row>
    <row r="107" spans="1:13" s="936" customFormat="1">
      <c r="A107" s="1082"/>
      <c r="B107"/>
      <c r="C107"/>
      <c r="D107"/>
      <c r="E107"/>
      <c r="F107"/>
      <c r="G107"/>
      <c r="H107"/>
      <c r="I107"/>
      <c r="M107" s="940"/>
    </row>
    <row r="108" spans="1:13" s="936" customFormat="1">
      <c r="A108" s="1082"/>
      <c r="B108"/>
      <c r="C108"/>
      <c r="D108"/>
      <c r="E108"/>
      <c r="F108"/>
      <c r="G108"/>
      <c r="H108"/>
      <c r="I108"/>
      <c r="M108" s="940"/>
    </row>
    <row r="109" spans="1:13" s="936" customFormat="1">
      <c r="A109" s="1082"/>
      <c r="B109"/>
      <c r="C109"/>
      <c r="D109"/>
      <c r="E109"/>
      <c r="F109"/>
      <c r="G109"/>
      <c r="H109"/>
      <c r="I109"/>
      <c r="M109" s="940"/>
    </row>
    <row r="110" spans="1:13" s="936" customFormat="1">
      <c r="A110" s="1082"/>
      <c r="B110"/>
      <c r="C110"/>
      <c r="D110"/>
      <c r="E110"/>
      <c r="F110"/>
      <c r="G110"/>
      <c r="H110"/>
      <c r="I110"/>
      <c r="M110" s="940"/>
    </row>
    <row r="111" spans="1:13" s="936" customFormat="1">
      <c r="A111" s="1082"/>
      <c r="M111" s="940"/>
    </row>
    <row r="112" spans="1:13" s="936" customFormat="1">
      <c r="A112" s="1082"/>
      <c r="M112" s="940"/>
    </row>
    <row r="113" spans="1:13" s="936" customFormat="1">
      <c r="A113" s="1082"/>
      <c r="M113" s="940"/>
    </row>
    <row r="114" spans="1:13" s="936" customFormat="1">
      <c r="A114" s="1082"/>
      <c r="M114" s="940"/>
    </row>
    <row r="115" spans="1:13" s="936" customFormat="1">
      <c r="A115" s="1082"/>
      <c r="M115" s="940"/>
    </row>
    <row r="116" spans="1:13" s="936" customFormat="1">
      <c r="A116" s="1082"/>
      <c r="M116" s="940"/>
    </row>
    <row r="117" spans="1:13" s="936" customFormat="1">
      <c r="A117" s="1082"/>
      <c r="M117" s="940"/>
    </row>
    <row r="118" spans="1:13" s="936" customFormat="1">
      <c r="A118" s="1082"/>
      <c r="M118" s="940"/>
    </row>
    <row r="119" spans="1:13" s="936" customFormat="1">
      <c r="A119" s="1082"/>
      <c r="M119" s="940"/>
    </row>
    <row r="120" spans="1:13" s="936" customFormat="1">
      <c r="A120" s="1082"/>
      <c r="M120" s="940"/>
    </row>
    <row r="121" spans="1:13" s="936" customFormat="1">
      <c r="A121" s="1082"/>
      <c r="M121" s="940"/>
    </row>
    <row r="122" spans="1:13" s="936" customFormat="1">
      <c r="A122" s="1082"/>
      <c r="M122" s="940"/>
    </row>
    <row r="123" spans="1:13" s="936" customFormat="1">
      <c r="A123" s="1082"/>
      <c r="M123" s="940"/>
    </row>
    <row r="124" spans="1:13" s="936" customFormat="1">
      <c r="A124" s="1082"/>
      <c r="M124" s="940"/>
    </row>
    <row r="125" spans="1:13" s="936" customFormat="1">
      <c r="A125" s="1082"/>
      <c r="G125" s="1081"/>
      <c r="H125" s="1080"/>
      <c r="M125" s="940"/>
    </row>
    <row r="126" spans="1:13" s="936" customFormat="1">
      <c r="A126" s="1082"/>
      <c r="G126" s="1081"/>
      <c r="H126" s="1080"/>
      <c r="M126" s="940"/>
    </row>
    <row r="127" spans="1:13" s="936" customFormat="1">
      <c r="A127" s="1082"/>
      <c r="G127" s="1081"/>
      <c r="H127" s="1080"/>
      <c r="M127" s="940"/>
    </row>
    <row r="128" spans="1:13" s="936" customFormat="1">
      <c r="A128" s="1082"/>
      <c r="G128" s="1081"/>
      <c r="H128" s="1080"/>
      <c r="M128" s="940"/>
    </row>
    <row r="129" spans="1:13" s="936" customFormat="1">
      <c r="A129" s="1082"/>
      <c r="G129" s="1081"/>
      <c r="H129" s="1080"/>
      <c r="M129" s="940"/>
    </row>
    <row r="130" spans="1:13" s="936" customFormat="1">
      <c r="A130" s="1082"/>
      <c r="M130" s="940"/>
    </row>
    <row r="131" spans="1:13" s="936" customFormat="1">
      <c r="A131" s="1082"/>
      <c r="M131" s="940"/>
    </row>
    <row r="132" spans="1:13" s="936" customFormat="1">
      <c r="A132" s="1082"/>
      <c r="M132" s="940"/>
    </row>
    <row r="133" spans="1:13" s="936" customFormat="1" ht="15.75" thickBot="1">
      <c r="A133" s="1082"/>
      <c r="M133" s="940"/>
    </row>
    <row r="134" spans="1:13" s="936" customFormat="1" ht="15" customHeight="1">
      <c r="A134" s="945"/>
      <c r="B134" s="1799" t="s">
        <v>181</v>
      </c>
      <c r="C134" s="1799"/>
      <c r="D134" s="1799"/>
      <c r="E134" s="1799"/>
      <c r="F134" s="1799"/>
      <c r="G134" s="1799"/>
      <c r="H134" s="1799"/>
      <c r="I134" s="1799"/>
      <c r="J134" s="1799"/>
      <c r="K134" s="1799"/>
      <c r="L134" s="1799"/>
      <c r="M134" s="1820"/>
    </row>
    <row r="135" spans="1:13" s="936" customFormat="1">
      <c r="A135" s="942"/>
      <c r="B135" s="1800"/>
      <c r="C135" s="1800"/>
      <c r="D135" s="1800"/>
      <c r="E135" s="1800"/>
      <c r="F135" s="1800"/>
      <c r="G135" s="1800"/>
      <c r="H135" s="1800"/>
      <c r="I135" s="1800"/>
      <c r="J135" s="1800"/>
      <c r="K135" s="1800"/>
      <c r="L135" s="1800"/>
      <c r="M135" s="1821"/>
    </row>
    <row r="136" spans="1:13" s="936" customFormat="1">
      <c r="A136" s="942"/>
      <c r="B136" s="1800"/>
      <c r="C136" s="1800"/>
      <c r="D136" s="1800"/>
      <c r="E136" s="1800"/>
      <c r="F136" s="1800"/>
      <c r="G136" s="1800"/>
      <c r="H136" s="1800"/>
      <c r="I136" s="1800"/>
      <c r="J136" s="1800"/>
      <c r="K136" s="1800"/>
      <c r="L136" s="1800"/>
      <c r="M136" s="1821"/>
    </row>
    <row r="137" spans="1:13" s="936" customFormat="1" ht="15.75" thickBot="1">
      <c r="A137" s="939"/>
      <c r="B137" s="1801"/>
      <c r="C137" s="1801"/>
      <c r="D137" s="1801"/>
      <c r="E137" s="1801"/>
      <c r="F137" s="1801"/>
      <c r="G137" s="1801"/>
      <c r="H137" s="1801"/>
      <c r="I137" s="1801"/>
      <c r="J137" s="1801"/>
      <c r="K137" s="1801"/>
      <c r="L137" s="1801"/>
      <c r="M137" s="1822"/>
    </row>
  </sheetData>
  <mergeCells count="20"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  <mergeCell ref="B134:M137"/>
    <mergeCell ref="D63:L63"/>
    <mergeCell ref="B65:B71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margins!$AG$167:$AG$168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margins!$AG$164:$AG$165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margins!$AG$171:$AG$178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margins!$AG$157:$AG$158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margins!$AG$160:$AG$162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margins!$AG$146:$AG$149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margins!$AG$151:$AG$153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margins!$AG$132:$AG$137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margins!$AG$139:$AG$144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19.85546875" style="936" customWidth="1"/>
    <col min="3" max="3" width="20.5703125" style="936" customWidth="1"/>
    <col min="4" max="4" width="13.7109375" style="936" customWidth="1"/>
    <col min="5" max="5" width="17.140625" style="936" customWidth="1"/>
    <col min="6" max="6" width="16.85546875" style="936" customWidth="1"/>
    <col min="7" max="7" width="16.42578125" style="936" customWidth="1"/>
    <col min="8" max="8" width="14.7109375" style="936" customWidth="1"/>
    <col min="9" max="9" width="10.7109375" style="936" bestFit="1" customWidth="1"/>
    <col min="10" max="10" width="17.7109375" style="936" customWidth="1"/>
    <col min="11" max="11" width="15.28515625" style="936" customWidth="1"/>
    <col min="12" max="12" width="13.7109375" style="936" customWidth="1"/>
    <col min="13" max="13" width="4.140625" style="936" customWidth="1"/>
    <col min="14" max="14" width="9.140625" style="935"/>
    <col min="15" max="15" width="19.85546875" style="935" customWidth="1"/>
    <col min="16" max="16" width="18.7109375" style="935" customWidth="1"/>
    <col min="17" max="17" width="16.5703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172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>
      <c r="A10" s="1748" t="s">
        <v>364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715" t="s">
        <v>347</v>
      </c>
      <c r="P10" s="1716"/>
      <c r="Q10" s="1716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1"/>
      <c r="P11" s="1"/>
      <c r="Q11" s="1"/>
    </row>
    <row r="12" spans="1:17" s="936" customFormat="1" ht="15.75" thickBot="1">
      <c r="A12" s="1144"/>
      <c r="B12" s="1142"/>
      <c r="C12"/>
      <c r="D12"/>
      <c r="E12"/>
      <c r="F12" s="1143"/>
      <c r="G12" s="1142"/>
      <c r="H12" s="1142"/>
      <c r="I12" s="1142"/>
      <c r="J12" s="1142"/>
      <c r="K12" s="1142"/>
      <c r="L12" s="1142"/>
      <c r="M12" s="1165"/>
      <c r="O12" s="1112" t="s">
        <v>195</v>
      </c>
      <c r="P12" s="1112" t="s">
        <v>196</v>
      </c>
      <c r="Q12" s="1112" t="s">
        <v>197</v>
      </c>
    </row>
    <row r="13" spans="1:17" s="936" customFormat="1" ht="15.75" thickBot="1">
      <c r="A13" s="1129"/>
      <c r="B13" s="1275" t="s">
        <v>211</v>
      </c>
      <c r="C13" s="1275" t="s">
        <v>304</v>
      </c>
      <c r="D13"/>
      <c r="E13" s="1081" t="s">
        <v>2</v>
      </c>
      <c r="F13" s="1080"/>
      <c r="H13" s="1901" t="s">
        <v>303</v>
      </c>
      <c r="I13" s="1902"/>
      <c r="J13" s="1903"/>
      <c r="M13" s="940"/>
      <c r="O13" s="1"/>
      <c r="P13" s="1"/>
      <c r="Q13" s="1"/>
    </row>
    <row r="14" spans="1:17" s="936" customFormat="1" ht="15.75" thickBot="1">
      <c r="A14" s="1129"/>
      <c r="B14" s="1340">
        <f>margins!AH3</f>
        <v>12.375</v>
      </c>
      <c r="C14" s="1341">
        <v>110.9</v>
      </c>
      <c r="D14"/>
      <c r="E14" s="1112" t="s">
        <v>6</v>
      </c>
      <c r="F14" s="1175">
        <v>100</v>
      </c>
      <c r="H14" s="1910" t="s">
        <v>689</v>
      </c>
      <c r="I14" s="1911"/>
      <c r="J14" s="1912"/>
      <c r="M14" s="940"/>
      <c r="O14" s="1"/>
      <c r="P14" s="1"/>
      <c r="Q14" s="1"/>
    </row>
    <row r="15" spans="1:17" s="936" customFormat="1" ht="15.75" thickBot="1">
      <c r="A15" s="1129"/>
      <c r="B15" s="1318">
        <f>margins!AH4</f>
        <v>12.25</v>
      </c>
      <c r="C15" s="1341">
        <v>110.77500000000001</v>
      </c>
      <c r="D15"/>
      <c r="E15" s="1112" t="s">
        <v>8</v>
      </c>
      <c r="F15" s="1134">
        <v>0</v>
      </c>
      <c r="H15" s="1898" t="s">
        <v>690</v>
      </c>
      <c r="I15" s="1899"/>
      <c r="J15" s="1900"/>
      <c r="M15" s="940"/>
      <c r="O15" s="579" t="s">
        <v>199</v>
      </c>
      <c r="P15" s="431">
        <v>10</v>
      </c>
      <c r="Q15" s="630">
        <f>VLOOKUP(P15,$B$14:$C$54,2,FALSE)</f>
        <v>107.4</v>
      </c>
    </row>
    <row r="16" spans="1:17" s="936" customFormat="1" ht="15.75" thickBot="1">
      <c r="A16" s="1129"/>
      <c r="B16" s="1318">
        <f>margins!AH5</f>
        <v>12.125</v>
      </c>
      <c r="C16" s="1341">
        <v>110.65</v>
      </c>
      <c r="D16"/>
      <c r="E16" s="1101" t="s">
        <v>10</v>
      </c>
      <c r="F16" s="1331">
        <v>-0.375</v>
      </c>
      <c r="H16" s="1898"/>
      <c r="I16" s="1899"/>
      <c r="J16" s="1900"/>
      <c r="M16" s="940"/>
      <c r="O16" s="581" t="s">
        <v>353</v>
      </c>
      <c r="P16" s="432" t="s">
        <v>20</v>
      </c>
      <c r="Q16" s="436"/>
    </row>
    <row r="17" spans="1:17" s="936" customFormat="1">
      <c r="A17" s="1129"/>
      <c r="B17" s="1318">
        <f>margins!AH6</f>
        <v>12</v>
      </c>
      <c r="C17" s="1341">
        <v>110.52500000000001</v>
      </c>
      <c r="D17"/>
      <c r="E17"/>
      <c r="F17"/>
      <c r="H17" s="1907" t="s">
        <v>691</v>
      </c>
      <c r="I17" s="1908"/>
      <c r="J17" s="1909"/>
      <c r="L17" s="1080"/>
      <c r="M17" s="949"/>
      <c r="O17" s="581" t="s">
        <v>200</v>
      </c>
      <c r="P17" s="432" t="s">
        <v>290</v>
      </c>
      <c r="Q17" s="436"/>
    </row>
    <row r="18" spans="1:17" s="936" customFormat="1" ht="15" customHeight="1" thickBot="1">
      <c r="A18" s="1129"/>
      <c r="B18" s="1318">
        <f>margins!AH7</f>
        <v>11.875</v>
      </c>
      <c r="C18" s="1341">
        <v>110.4</v>
      </c>
      <c r="D18"/>
      <c r="E18"/>
      <c r="F18"/>
      <c r="H18" s="1913" t="s">
        <v>692</v>
      </c>
      <c r="I18" s="1914"/>
      <c r="J18" s="1915"/>
      <c r="L18" s="1218"/>
      <c r="M18" s="940"/>
      <c r="O18" s="581" t="s">
        <v>198</v>
      </c>
      <c r="P18" s="432" t="s">
        <v>280</v>
      </c>
      <c r="Q18" s="436">
        <f>IF(P18="Choose a Selection",0,(INDEX($D$59:$L$114,MATCH(P18,$C$59:$C$114,0),MATCH($P$16,$D$58:$L$58,0),1)))</f>
        <v>0</v>
      </c>
    </row>
    <row r="19" spans="1:17" s="936" customFormat="1">
      <c r="A19" s="1129"/>
      <c r="B19" s="1318">
        <f>margins!AH8</f>
        <v>11.75</v>
      </c>
      <c r="C19" s="1341">
        <v>110.27500000000001</v>
      </c>
      <c r="D19"/>
      <c r="E19" s="1729" t="s">
        <v>30</v>
      </c>
      <c r="F19" s="1769"/>
      <c r="L19" s="1218"/>
      <c r="M19" s="940"/>
      <c r="O19" s="581" t="s">
        <v>4</v>
      </c>
      <c r="P19" s="432" t="s">
        <v>191</v>
      </c>
      <c r="Q19" s="436">
        <f>IF(P19="Full Doc",INDEX($D$59:$L$66,MATCH(P17,C59:C66,0),MATCH(P16,$D$58:$L$58,0),1),0)</f>
        <v>0</v>
      </c>
    </row>
    <row r="20" spans="1:17" s="936" customFormat="1">
      <c r="A20" s="1129"/>
      <c r="B20" s="1318">
        <f>margins!AH9</f>
        <v>11.625</v>
      </c>
      <c r="C20" s="1341">
        <v>110.15</v>
      </c>
      <c r="D20"/>
      <c r="E20" s="1332" t="s">
        <v>83</v>
      </c>
      <c r="F20" s="1131">
        <v>-0.25</v>
      </c>
      <c r="L20" s="1218"/>
      <c r="M20" s="940"/>
      <c r="O20" s="581" t="s">
        <v>517</v>
      </c>
      <c r="P20" s="432" t="s">
        <v>191</v>
      </c>
      <c r="Q20" s="436">
        <f>IF(P20="Choose a Selection",0,(INDEX($D$67:$L$74,MATCH($P$17,C67:C74,0),MATCH($P$16,$D$58:$L$58,0),1)))</f>
        <v>0</v>
      </c>
    </row>
    <row r="21" spans="1:17" s="936" customFormat="1" ht="15" customHeight="1">
      <c r="A21" s="1129"/>
      <c r="B21" s="1318">
        <f>margins!AH10</f>
        <v>11.5</v>
      </c>
      <c r="C21" s="1341">
        <v>110.02500000000001</v>
      </c>
      <c r="D21"/>
      <c r="E21" s="1332" t="s">
        <v>84</v>
      </c>
      <c r="F21" s="1131">
        <v>-0.32500000000000001</v>
      </c>
      <c r="G21" s="1084"/>
      <c r="L21" s="1218"/>
      <c r="M21" s="940"/>
      <c r="O21" s="581" t="s">
        <v>518</v>
      </c>
      <c r="P21" s="432" t="s">
        <v>191</v>
      </c>
      <c r="Q21" s="436">
        <f>IF(P21="Choose a Selection",0,(INDEX($D$83:$L$85,MATCH($P$17,C83:C85,0),MATCH($P$16,$D$58:$L$58,0),1)))</f>
        <v>0</v>
      </c>
    </row>
    <row r="22" spans="1:17" s="936" customFormat="1">
      <c r="A22" s="1129"/>
      <c r="B22" s="1318">
        <f>margins!AH11</f>
        <v>11.375</v>
      </c>
      <c r="C22" s="1341">
        <v>109.9</v>
      </c>
      <c r="D22"/>
      <c r="E22" s="1332" t="s">
        <v>85</v>
      </c>
      <c r="F22" s="1338">
        <v>-0.55000000000000004</v>
      </c>
      <c r="L22" s="1218"/>
      <c r="M22" s="940"/>
      <c r="O22" s="581" t="s">
        <v>519</v>
      </c>
      <c r="P22" s="432" t="s">
        <v>191</v>
      </c>
      <c r="Q22" s="436">
        <f>IF(P22="Choose a Selection",0,(INDEX($D$75:$L$82,MATCH($P$17,C75:C82,0),MATCH($P$16,$D$58:$L$58,0),1)))</f>
        <v>0</v>
      </c>
    </row>
    <row r="23" spans="1:17" s="936" customFormat="1" ht="15.75" thickBot="1">
      <c r="A23" s="1082"/>
      <c r="B23" s="1318">
        <f>margins!AH12</f>
        <v>11.25</v>
      </c>
      <c r="C23" s="1341">
        <v>109.77500000000001</v>
      </c>
      <c r="D23"/>
      <c r="E23" s="1333" t="s">
        <v>86</v>
      </c>
      <c r="F23" s="1137">
        <v>-0.65</v>
      </c>
      <c r="G23"/>
      <c r="L23" s="1218"/>
      <c r="M23" s="1311"/>
      <c r="O23" s="581" t="s">
        <v>279</v>
      </c>
      <c r="P23" s="432" t="s">
        <v>191</v>
      </c>
      <c r="Q23" s="436">
        <f>IF(P23="Choose a Selection",0,(INDEX($D$59:$L$114,MATCH(P23,$C$59:$C$114,0),MATCH($P$16,$D$58:$L$58,0),1)))</f>
        <v>0</v>
      </c>
    </row>
    <row r="24" spans="1:17" s="936" customFormat="1" ht="14.25" customHeight="1">
      <c r="A24" s="1082"/>
      <c r="B24" s="1318">
        <f>margins!AH13</f>
        <v>11.125</v>
      </c>
      <c r="C24" s="1341">
        <v>109.65</v>
      </c>
      <c r="D24"/>
      <c r="E24" s="936" t="s">
        <v>299</v>
      </c>
      <c r="F24"/>
      <c r="G24"/>
      <c r="L24" s="1218"/>
      <c r="M24" s="1316"/>
      <c r="O24" s="581" t="s">
        <v>45</v>
      </c>
      <c r="P24" s="432" t="s">
        <v>191</v>
      </c>
      <c r="Q24" s="436">
        <f>IF(P24="Choose a Selection",0,(INDEX($D$59:$L$114,MATCH(P24,$C$59:$C$114,0),MATCH($P$16,$D$58:$L$58,0),1)))</f>
        <v>0</v>
      </c>
    </row>
    <row r="25" spans="1:17" s="936" customFormat="1">
      <c r="A25" s="1082"/>
      <c r="B25" s="1318">
        <f>margins!AH14</f>
        <v>11</v>
      </c>
      <c r="C25" s="1341">
        <v>109.52500000000001</v>
      </c>
      <c r="D25"/>
      <c r="E25"/>
      <c r="H25"/>
      <c r="I25"/>
      <c r="J25" s="1218"/>
      <c r="K25" s="1218"/>
      <c r="L25" s="1218"/>
      <c r="M25" s="1316"/>
      <c r="O25" s="581" t="s">
        <v>56</v>
      </c>
      <c r="P25" s="432" t="s">
        <v>191</v>
      </c>
      <c r="Q25" s="436">
        <f>IF(P25="Choose a Selection",0,(INDEX($D$59:$L$114,MATCH(P25,$C$59:$C$114,0),MATCH($P$16,$D$58:$L$58,0),1)))</f>
        <v>0</v>
      </c>
    </row>
    <row r="26" spans="1:17" s="936" customFormat="1" ht="14.25" customHeight="1">
      <c r="A26" s="1082"/>
      <c r="B26" s="1318">
        <f>margins!AH15</f>
        <v>10.875</v>
      </c>
      <c r="C26" s="1341">
        <v>109.27500000000001</v>
      </c>
      <c r="D26"/>
      <c r="E26"/>
      <c r="G26"/>
      <c r="H26"/>
      <c r="I26"/>
      <c r="J26"/>
      <c r="K26"/>
      <c r="L26"/>
      <c r="M26" s="1316"/>
      <c r="O26" s="581" t="s">
        <v>60</v>
      </c>
      <c r="P26" s="432" t="s">
        <v>191</v>
      </c>
      <c r="Q26" s="436">
        <f>IF(P26="Choose a Selection",0,(INDEX($D$59:$L$114,MATCH(P26,$C$59:$C$114,0),MATCH($P$16,$D$58:$L$58,0),1)))</f>
        <v>0</v>
      </c>
    </row>
    <row r="27" spans="1:17" s="936" customFormat="1">
      <c r="A27" s="1082"/>
      <c r="B27" s="1318">
        <f>margins!AH16</f>
        <v>10.75</v>
      </c>
      <c r="C27" s="1341">
        <v>109.02500000000001</v>
      </c>
      <c r="D27"/>
      <c r="E27"/>
      <c r="G27"/>
      <c r="H27"/>
      <c r="I27"/>
      <c r="J27"/>
      <c r="K27"/>
      <c r="L27"/>
      <c r="M27" s="1316"/>
      <c r="O27" s="581" t="s">
        <v>62</v>
      </c>
      <c r="P27" s="432" t="s">
        <v>191</v>
      </c>
      <c r="Q27" s="436">
        <f>IF(P27="Choose a Selection",0,(INDEX($D$59:$L$114,MATCH(P27,$C$59:$C$114,0),MATCH($P$16,$D$58:$L$58,0),1)))</f>
        <v>0</v>
      </c>
    </row>
    <row r="28" spans="1:17" s="936" customFormat="1" ht="14.25" customHeight="1">
      <c r="A28" s="1082"/>
      <c r="B28" s="1318">
        <f>margins!AH17</f>
        <v>10.625</v>
      </c>
      <c r="C28" s="1341">
        <v>108.77500000000001</v>
      </c>
      <c r="D28"/>
      <c r="E28"/>
      <c r="G28"/>
      <c r="H28"/>
      <c r="I28"/>
      <c r="J28"/>
      <c r="K28"/>
      <c r="L28"/>
      <c r="M28" s="1316"/>
      <c r="O28" s="581" t="s">
        <v>205</v>
      </c>
      <c r="P28" s="432" t="s">
        <v>191</v>
      </c>
      <c r="Q28" s="436">
        <f>IF(P28=15,0, IF(P28=30, F16, 0))</f>
        <v>0</v>
      </c>
    </row>
    <row r="29" spans="1:17" s="936" customFormat="1" ht="15.75" thickBot="1">
      <c r="A29" s="1082"/>
      <c r="B29" s="1318">
        <f>margins!AH18</f>
        <v>10.5</v>
      </c>
      <c r="C29" s="1341">
        <v>108.52500000000001</v>
      </c>
      <c r="D29"/>
      <c r="E29"/>
      <c r="G29"/>
      <c r="H29"/>
      <c r="I29"/>
      <c r="J29"/>
      <c r="K29"/>
      <c r="L29"/>
      <c r="M29" s="1316"/>
      <c r="O29" s="583" t="s">
        <v>206</v>
      </c>
      <c r="P29" s="433"/>
      <c r="Q29" s="437">
        <f>SUM(Q18:Q28)</f>
        <v>0</v>
      </c>
    </row>
    <row r="30" spans="1:17" s="936" customFormat="1" ht="15.75" thickBot="1">
      <c r="A30" s="1082"/>
      <c r="B30" s="1318">
        <f>margins!AH19</f>
        <v>10.375</v>
      </c>
      <c r="C30" s="1341">
        <v>108.27500000000001</v>
      </c>
      <c r="D30"/>
      <c r="E30"/>
      <c r="G30"/>
      <c r="H30"/>
      <c r="J30"/>
      <c r="K30"/>
      <c r="L30"/>
      <c r="M30" s="1312"/>
      <c r="O30" s="420"/>
      <c r="P30" s="421"/>
      <c r="Q30" s="430"/>
    </row>
    <row r="31" spans="1:17" s="936" customFormat="1" ht="15.75" thickBot="1">
      <c r="A31" s="1082"/>
      <c r="B31" s="1318">
        <f>margins!AH20</f>
        <v>10.25</v>
      </c>
      <c r="C31" s="1341">
        <v>108.02500000000001</v>
      </c>
      <c r="D31"/>
      <c r="E31"/>
      <c r="G31" s="1081"/>
      <c r="H31" s="1080"/>
      <c r="J31"/>
      <c r="K31"/>
      <c r="L31"/>
      <c r="M31" s="1312"/>
      <c r="O31" s="422" t="s">
        <v>207</v>
      </c>
      <c r="P31" s="423"/>
      <c r="Q31" s="584">
        <f>IF(ISNUMBER(MATCH("NA", Q18:Q28, 0)), "NA", MIN(F14,(Q15+Q29)))</f>
        <v>100</v>
      </c>
    </row>
    <row r="32" spans="1:17" s="936" customFormat="1" ht="15.75" thickBot="1">
      <c r="A32" s="1082"/>
      <c r="B32" s="1318">
        <f>margins!AH21</f>
        <v>10.125</v>
      </c>
      <c r="C32" s="1341">
        <v>107.77500000000001</v>
      </c>
      <c r="D32"/>
      <c r="E32"/>
      <c r="M32" s="940"/>
      <c r="O32" s="417"/>
      <c r="P32" s="417"/>
      <c r="Q32" s="417"/>
    </row>
    <row r="33" spans="1:17" s="936" customFormat="1" ht="15.75" thickBot="1">
      <c r="A33" s="1082"/>
      <c r="B33" s="1318">
        <f>margins!AH22</f>
        <v>10</v>
      </c>
      <c r="C33" s="1341">
        <v>107.4</v>
      </c>
      <c r="D33"/>
      <c r="E33"/>
      <c r="M33" s="940"/>
      <c r="O33" s="746" t="s">
        <v>447</v>
      </c>
      <c r="P33" s="747"/>
      <c r="Q33" s="748"/>
    </row>
    <row r="34" spans="1:17" s="936" customFormat="1">
      <c r="A34" s="1082"/>
      <c r="B34" s="1318">
        <f>margins!AH23</f>
        <v>9.875</v>
      </c>
      <c r="C34" s="1341">
        <v>107.02500000000001</v>
      </c>
      <c r="D34"/>
      <c r="E34"/>
      <c r="M34" s="940"/>
    </row>
    <row r="35" spans="1:17" s="936" customFormat="1">
      <c r="A35" s="1082"/>
      <c r="B35" s="1318">
        <f>margins!AH24</f>
        <v>9.75</v>
      </c>
      <c r="C35" s="1341">
        <v>106.65</v>
      </c>
      <c r="D35"/>
      <c r="E35"/>
      <c r="M35" s="940"/>
    </row>
    <row r="36" spans="1:17" s="936" customFormat="1">
      <c r="A36" s="1082"/>
      <c r="B36" s="1318">
        <f>margins!AH25</f>
        <v>9.625</v>
      </c>
      <c r="C36" s="1341">
        <v>106.27500000000001</v>
      </c>
      <c r="D36"/>
      <c r="E36"/>
      <c r="M36" s="940"/>
    </row>
    <row r="37" spans="1:17" s="936" customFormat="1">
      <c r="A37" s="1082"/>
      <c r="B37" s="1318">
        <f>margins!AH26</f>
        <v>9.5</v>
      </c>
      <c r="C37" s="1341">
        <v>105.9</v>
      </c>
      <c r="D37"/>
      <c r="E37"/>
      <c r="M37" s="940"/>
    </row>
    <row r="38" spans="1:17" s="936" customFormat="1">
      <c r="A38" s="1082"/>
      <c r="B38" s="1318">
        <f>margins!AH27</f>
        <v>9.375</v>
      </c>
      <c r="C38" s="1341">
        <v>105.52500000000001</v>
      </c>
      <c r="D38"/>
      <c r="E38"/>
      <c r="M38" s="940"/>
    </row>
    <row r="39" spans="1:17" s="936" customFormat="1">
      <c r="A39" s="1082"/>
      <c r="B39" s="1318">
        <f>margins!AH28</f>
        <v>9.25</v>
      </c>
      <c r="C39" s="1341">
        <v>105.15</v>
      </c>
      <c r="D39"/>
      <c r="E39"/>
      <c r="M39" s="940"/>
    </row>
    <row r="40" spans="1:17" s="936" customFormat="1">
      <c r="A40" s="1082"/>
      <c r="B40" s="1318">
        <f>margins!AH29</f>
        <v>9.125</v>
      </c>
      <c r="C40" s="1341">
        <v>104.77500000000001</v>
      </c>
      <c r="D40"/>
      <c r="E40"/>
      <c r="M40" s="940"/>
    </row>
    <row r="41" spans="1:17" s="936" customFormat="1">
      <c r="A41" s="1082"/>
      <c r="B41" s="1318">
        <f>margins!AH30</f>
        <v>9</v>
      </c>
      <c r="C41" s="1341">
        <v>104.4</v>
      </c>
      <c r="D41"/>
      <c r="E41"/>
      <c r="F41"/>
      <c r="G41"/>
      <c r="M41" s="940"/>
    </row>
    <row r="42" spans="1:17" s="936" customFormat="1">
      <c r="A42" s="1082"/>
      <c r="B42" s="1318">
        <f>margins!AH31</f>
        <v>8.875</v>
      </c>
      <c r="C42" s="1341">
        <v>104.02500000000001</v>
      </c>
      <c r="D42"/>
      <c r="E42"/>
      <c r="F42"/>
      <c r="G42"/>
      <c r="M42" s="940"/>
    </row>
    <row r="43" spans="1:17" s="936" customFormat="1">
      <c r="A43" s="1082"/>
      <c r="B43" s="1318">
        <f>margins!AH32</f>
        <v>8.75</v>
      </c>
      <c r="C43" s="1341">
        <v>103.65</v>
      </c>
      <c r="D43"/>
      <c r="F43"/>
      <c r="G43"/>
      <c r="M43" s="940"/>
    </row>
    <row r="44" spans="1:17" s="936" customFormat="1">
      <c r="A44" s="1082"/>
      <c r="B44" s="1318">
        <f>margins!AH33</f>
        <v>8.625</v>
      </c>
      <c r="C44" s="1341">
        <v>103.15</v>
      </c>
      <c r="D44"/>
      <c r="F44"/>
      <c r="G44"/>
      <c r="H44" s="1080"/>
      <c r="M44" s="940"/>
    </row>
    <row r="45" spans="1:17" s="936" customFormat="1">
      <c r="A45" s="1082"/>
      <c r="B45" s="1318">
        <f>margins!AH34</f>
        <v>8.5</v>
      </c>
      <c r="C45" s="1341">
        <v>102.65</v>
      </c>
      <c r="D45"/>
      <c r="F45"/>
      <c r="G45"/>
      <c r="M45" s="940"/>
    </row>
    <row r="46" spans="1:17" s="936" customFormat="1">
      <c r="A46" s="1082"/>
      <c r="B46" s="1318">
        <f>margins!AH35</f>
        <v>8.375</v>
      </c>
      <c r="C46" s="1341">
        <v>102.15</v>
      </c>
      <c r="D46"/>
      <c r="F46"/>
      <c r="G46"/>
      <c r="M46" s="940"/>
    </row>
    <row r="47" spans="1:17" s="936" customFormat="1">
      <c r="A47" s="1082"/>
      <c r="B47" s="1318">
        <f>margins!AH36</f>
        <v>8.25</v>
      </c>
      <c r="C47" s="1341">
        <v>101.52500000000001</v>
      </c>
      <c r="D47"/>
      <c r="M47" s="940"/>
    </row>
    <row r="48" spans="1:17" s="936" customFormat="1">
      <c r="A48" s="1082"/>
      <c r="B48" s="1318">
        <f>margins!AH37</f>
        <v>8.125</v>
      </c>
      <c r="C48" s="1341">
        <v>100.9</v>
      </c>
      <c r="D48"/>
      <c r="M48" s="940"/>
    </row>
    <row r="49" spans="1:13" s="936" customFormat="1">
      <c r="A49" s="1082"/>
      <c r="B49" s="1318">
        <f>margins!AH38</f>
        <v>8</v>
      </c>
      <c r="C49" s="1341">
        <v>100.27500000000001</v>
      </c>
      <c r="D49"/>
      <c r="M49" s="940"/>
    </row>
    <row r="50" spans="1:13" s="936" customFormat="1">
      <c r="A50" s="1082"/>
      <c r="B50" s="1318">
        <f>margins!AH39</f>
        <v>7.875</v>
      </c>
      <c r="C50" s="1341">
        <v>99.65</v>
      </c>
      <c r="D50"/>
      <c r="M50" s="940"/>
    </row>
    <row r="51" spans="1:13" s="936" customFormat="1">
      <c r="A51" s="1082"/>
      <c r="B51" s="1318">
        <f>margins!AH40</f>
        <v>7.75</v>
      </c>
      <c r="C51" s="1341">
        <v>98.9</v>
      </c>
      <c r="D51"/>
      <c r="K51" s="1211"/>
      <c r="L51" s="1211"/>
      <c r="M51" s="1313"/>
    </row>
    <row r="52" spans="1:13" s="936" customFormat="1">
      <c r="A52" s="1082"/>
      <c r="B52" s="1318">
        <f>margins!AH41</f>
        <v>7.625</v>
      </c>
      <c r="C52" s="1341">
        <v>98.15</v>
      </c>
      <c r="D52"/>
      <c r="K52" s="1128"/>
      <c r="L52" s="1128"/>
      <c r="M52" s="1310"/>
    </row>
    <row r="53" spans="1:13" s="936" customFormat="1">
      <c r="A53" s="1082"/>
      <c r="B53" s="1318">
        <f>margins!AH42</f>
        <v>7.5</v>
      </c>
      <c r="C53" s="1341">
        <v>97.4</v>
      </c>
      <c r="D53"/>
      <c r="M53" s="940"/>
    </row>
    <row r="54" spans="1:13" s="936" customFormat="1" ht="15.75" thickBot="1">
      <c r="A54" s="1082"/>
      <c r="B54" s="1328">
        <f>margins!AH43</f>
        <v>7.375</v>
      </c>
      <c r="C54" s="1342">
        <v>96.65</v>
      </c>
      <c r="D54"/>
      <c r="M54" s="940"/>
    </row>
    <row r="55" spans="1:13" s="936" customFormat="1">
      <c r="A55" s="1082"/>
      <c r="B55"/>
      <c r="M55" s="940"/>
    </row>
    <row r="56" spans="1:13" s="936" customFormat="1" ht="15.75" thickBot="1">
      <c r="A56" s="1082"/>
      <c r="C56" s="1150"/>
      <c r="D56" s="1150"/>
      <c r="E56" s="1150"/>
      <c r="F56" s="1158"/>
      <c r="G56" s="1203"/>
      <c r="H56" s="1158"/>
      <c r="I56" s="1158"/>
      <c r="J56" s="1203"/>
      <c r="K56" s="1203"/>
      <c r="L56" s="1203"/>
      <c r="M56" s="1279"/>
    </row>
    <row r="57" spans="1:13" s="936" customFormat="1" ht="15" customHeight="1" thickBot="1">
      <c r="A57" s="1082"/>
      <c r="B57" s="1081" t="s">
        <v>216</v>
      </c>
      <c r="C57" s="1081"/>
      <c r="D57" s="1736" t="s">
        <v>298</v>
      </c>
      <c r="E57" s="1737"/>
      <c r="F57" s="1737"/>
      <c r="G57" s="1737"/>
      <c r="H57" s="1737"/>
      <c r="I57" s="1737"/>
      <c r="J57" s="1737"/>
      <c r="K57" s="1737"/>
      <c r="L57" s="1738"/>
      <c r="M57" s="1279"/>
    </row>
    <row r="58" spans="1:13" s="936" customFormat="1" ht="15.75" thickBot="1">
      <c r="A58" s="1082"/>
      <c r="B58" s="1286"/>
      <c r="C58" s="1294" t="s">
        <v>191</v>
      </c>
      <c r="D58" s="1100" t="s">
        <v>15</v>
      </c>
      <c r="E58" s="1100" t="s">
        <v>16</v>
      </c>
      <c r="F58" s="1100" t="s">
        <v>17</v>
      </c>
      <c r="G58" s="1197" t="s">
        <v>18</v>
      </c>
      <c r="H58" s="1355" t="s">
        <v>19</v>
      </c>
      <c r="I58" s="1100" t="s">
        <v>20</v>
      </c>
      <c r="J58" s="1100" t="s">
        <v>21</v>
      </c>
      <c r="K58" s="1100" t="s">
        <v>22</v>
      </c>
      <c r="L58" s="1099" t="s">
        <v>23</v>
      </c>
      <c r="M58" s="1279"/>
    </row>
    <row r="59" spans="1:13" s="936" customFormat="1">
      <c r="A59" s="1082"/>
      <c r="B59" s="1213"/>
      <c r="C59" s="1272" t="s">
        <v>377</v>
      </c>
      <c r="D59" s="1091">
        <v>1.875</v>
      </c>
      <c r="E59" s="1091">
        <v>1.875</v>
      </c>
      <c r="F59" s="1091">
        <v>1.625</v>
      </c>
      <c r="G59" s="1091">
        <v>1.375</v>
      </c>
      <c r="H59" s="1091">
        <v>1.125</v>
      </c>
      <c r="I59" s="1091">
        <v>0.25</v>
      </c>
      <c r="J59" s="1091">
        <v>-0.625</v>
      </c>
      <c r="K59" s="1091">
        <v>-4.5</v>
      </c>
      <c r="L59" s="1090">
        <v>-6.125</v>
      </c>
      <c r="M59" s="1279"/>
    </row>
    <row r="60" spans="1:13" s="936" customFormat="1">
      <c r="A60" s="1082"/>
      <c r="B60" s="1343"/>
      <c r="C60" s="1273" t="s">
        <v>294</v>
      </c>
      <c r="D60" s="1094">
        <v>1.875</v>
      </c>
      <c r="E60" s="1094">
        <v>1.875</v>
      </c>
      <c r="F60" s="1094">
        <v>1.625</v>
      </c>
      <c r="G60" s="1094">
        <v>1.375</v>
      </c>
      <c r="H60" s="1094">
        <v>1.125</v>
      </c>
      <c r="I60" s="1094">
        <v>0.125</v>
      </c>
      <c r="J60" s="1094">
        <v>-0.75</v>
      </c>
      <c r="K60" s="1094">
        <v>-4.75</v>
      </c>
      <c r="L60" s="1093">
        <v>-6.375</v>
      </c>
      <c r="M60" s="1279"/>
    </row>
    <row r="61" spans="1:13" s="936" customFormat="1">
      <c r="A61" s="1082"/>
      <c r="B61" s="1280"/>
      <c r="C61" s="1273" t="s">
        <v>293</v>
      </c>
      <c r="D61" s="1094">
        <v>1.375</v>
      </c>
      <c r="E61" s="1094">
        <v>1.375</v>
      </c>
      <c r="F61" s="1094">
        <v>1.125</v>
      </c>
      <c r="G61" s="1094">
        <v>0.875</v>
      </c>
      <c r="H61" s="1094">
        <v>0.625</v>
      </c>
      <c r="I61" s="1094">
        <v>-0.5</v>
      </c>
      <c r="J61" s="1094">
        <v>-1.5</v>
      </c>
      <c r="K61" s="1094">
        <v>-5.375</v>
      </c>
      <c r="L61" s="1093">
        <v>-7.375</v>
      </c>
      <c r="M61" s="1279"/>
    </row>
    <row r="62" spans="1:13" s="936" customFormat="1">
      <c r="A62" s="1082"/>
      <c r="B62" s="1273" t="s">
        <v>190</v>
      </c>
      <c r="C62" s="1273" t="s">
        <v>292</v>
      </c>
      <c r="D62" s="1094">
        <v>1</v>
      </c>
      <c r="E62" s="1094">
        <v>1</v>
      </c>
      <c r="F62" s="1094">
        <v>0.625</v>
      </c>
      <c r="G62" s="1094">
        <v>0.375</v>
      </c>
      <c r="H62" s="1094">
        <v>0.125</v>
      </c>
      <c r="I62" s="1094">
        <v>-1.125</v>
      </c>
      <c r="J62" s="1094">
        <v>-2.75</v>
      </c>
      <c r="K62" s="1094">
        <v>-6.75</v>
      </c>
      <c r="L62" s="1093">
        <v>-9</v>
      </c>
      <c r="M62" s="1279"/>
    </row>
    <row r="63" spans="1:13" s="936" customFormat="1">
      <c r="A63" s="1082"/>
      <c r="B63" s="1344" t="s">
        <v>297</v>
      </c>
      <c r="C63" s="1273" t="s">
        <v>291</v>
      </c>
      <c r="D63" s="1094">
        <v>0.125</v>
      </c>
      <c r="E63" s="1094">
        <v>0.125</v>
      </c>
      <c r="F63" s="1094">
        <v>-0.375</v>
      </c>
      <c r="G63" s="1094">
        <v>-0.75</v>
      </c>
      <c r="H63" s="1094">
        <v>-1</v>
      </c>
      <c r="I63" s="1094">
        <v>-2</v>
      </c>
      <c r="J63" s="1094">
        <v>-4</v>
      </c>
      <c r="K63" s="1094">
        <v>-8.125</v>
      </c>
      <c r="L63" s="1093">
        <v>-10</v>
      </c>
      <c r="M63" s="1279"/>
    </row>
    <row r="64" spans="1:13" s="936" customFormat="1">
      <c r="A64" s="1082"/>
      <c r="B64" s="1280"/>
      <c r="C64" s="1273" t="s">
        <v>290</v>
      </c>
      <c r="D64" s="1094">
        <v>-0.75</v>
      </c>
      <c r="E64" s="1094">
        <v>-0.75</v>
      </c>
      <c r="F64" s="1094">
        <v>-1.375</v>
      </c>
      <c r="G64" s="1094">
        <v>-1.875</v>
      </c>
      <c r="H64" s="1094">
        <v>-2.375</v>
      </c>
      <c r="I64" s="1094">
        <v>-3.125</v>
      </c>
      <c r="J64" s="1094">
        <v>-5.5</v>
      </c>
      <c r="K64" s="1094">
        <v>-9.375</v>
      </c>
      <c r="L64" s="1093">
        <v>-11.5</v>
      </c>
      <c r="M64" s="1279"/>
    </row>
    <row r="65" spans="1:13" s="936" customFormat="1">
      <c r="A65" s="1082"/>
      <c r="B65" s="1280"/>
      <c r="C65" s="1273" t="s">
        <v>289</v>
      </c>
      <c r="D65" s="1172">
        <v>-3</v>
      </c>
      <c r="E65" s="1172">
        <v>-3</v>
      </c>
      <c r="F65" s="1172">
        <v>-3.75</v>
      </c>
      <c r="G65" s="1172">
        <v>-4.125</v>
      </c>
      <c r="H65" s="1172">
        <v>-4.75</v>
      </c>
      <c r="I65" s="1172">
        <v>-5.75</v>
      </c>
      <c r="J65" s="1172">
        <v>-8.375</v>
      </c>
      <c r="K65" s="1172">
        <v>-11.125</v>
      </c>
      <c r="L65" s="1171" t="s">
        <v>14</v>
      </c>
      <c r="M65" s="1279"/>
    </row>
    <row r="66" spans="1:13" s="936" customFormat="1" ht="15.75" thickBot="1">
      <c r="A66" s="1082"/>
      <c r="B66" s="1281"/>
      <c r="C66" s="1089" t="s">
        <v>288</v>
      </c>
      <c r="D66" s="1156">
        <v>-4.25</v>
      </c>
      <c r="E66" s="1156">
        <v>-4.375</v>
      </c>
      <c r="F66" s="1156">
        <v>-4.875</v>
      </c>
      <c r="G66" s="1156">
        <v>-5.5</v>
      </c>
      <c r="H66" s="1156">
        <v>-6</v>
      </c>
      <c r="I66" s="1156">
        <v>-7.25</v>
      </c>
      <c r="J66" s="1156">
        <v>-10.25</v>
      </c>
      <c r="K66" s="1156" t="s">
        <v>14</v>
      </c>
      <c r="L66" s="1155" t="s">
        <v>14</v>
      </c>
      <c r="M66" s="1279"/>
    </row>
    <row r="67" spans="1:13" s="936" customFormat="1">
      <c r="A67" s="1082"/>
      <c r="B67" s="1213"/>
      <c r="C67" s="1273" t="s">
        <v>377</v>
      </c>
      <c r="D67" s="1091">
        <v>0.875</v>
      </c>
      <c r="E67" s="1091">
        <v>0.875</v>
      </c>
      <c r="F67" s="1091">
        <v>0.625</v>
      </c>
      <c r="G67" s="1091">
        <v>0.25</v>
      </c>
      <c r="H67" s="1091">
        <v>0</v>
      </c>
      <c r="I67" s="1091">
        <v>-1</v>
      </c>
      <c r="J67" s="1091">
        <v>-1.875</v>
      </c>
      <c r="K67" s="1091">
        <v>-5.875</v>
      </c>
      <c r="L67" s="1090">
        <v>-7.625</v>
      </c>
      <c r="M67" s="1279"/>
    </row>
    <row r="68" spans="1:13" s="936" customFormat="1">
      <c r="A68" s="1082"/>
      <c r="B68" s="1273"/>
      <c r="C68" s="1273" t="s">
        <v>294</v>
      </c>
      <c r="D68" s="1094">
        <v>0.875</v>
      </c>
      <c r="E68" s="1094">
        <v>0.875</v>
      </c>
      <c r="F68" s="1094">
        <v>0.625</v>
      </c>
      <c r="G68" s="1094">
        <v>0.25</v>
      </c>
      <c r="H68" s="1094">
        <v>0</v>
      </c>
      <c r="I68" s="1094">
        <v>-1.125</v>
      </c>
      <c r="J68" s="1094">
        <v>-2</v>
      </c>
      <c r="K68" s="1094">
        <v>-6.125</v>
      </c>
      <c r="L68" s="1093">
        <v>-7.875</v>
      </c>
      <c r="M68" s="1279"/>
    </row>
    <row r="69" spans="1:13" s="936" customFormat="1">
      <c r="A69" s="1082"/>
      <c r="B69" s="1345"/>
      <c r="C69" s="1273" t="s">
        <v>293</v>
      </c>
      <c r="D69" s="1094">
        <v>0.375</v>
      </c>
      <c r="E69" s="1094">
        <v>0.375</v>
      </c>
      <c r="F69" s="1094">
        <v>0.125</v>
      </c>
      <c r="G69" s="1094">
        <v>-0.25</v>
      </c>
      <c r="H69" s="1094">
        <v>-0.5</v>
      </c>
      <c r="I69" s="1094">
        <v>-1.75</v>
      </c>
      <c r="J69" s="1094">
        <v>-2.75</v>
      </c>
      <c r="K69" s="1094">
        <v>-6.75</v>
      </c>
      <c r="L69" s="1093">
        <v>-8.875</v>
      </c>
      <c r="M69" s="1279"/>
    </row>
    <row r="70" spans="1:13" s="936" customFormat="1" ht="15" customHeight="1">
      <c r="A70" s="1082"/>
      <c r="B70" s="1337" t="s">
        <v>693</v>
      </c>
      <c r="C70" s="1273" t="s">
        <v>292</v>
      </c>
      <c r="D70" s="1094">
        <v>0</v>
      </c>
      <c r="E70" s="1094">
        <v>0</v>
      </c>
      <c r="F70" s="1094">
        <v>-0.375</v>
      </c>
      <c r="G70" s="1094">
        <v>-0.75</v>
      </c>
      <c r="H70" s="1094">
        <v>-1</v>
      </c>
      <c r="I70" s="1094">
        <v>-2.375</v>
      </c>
      <c r="J70" s="1094">
        <v>-4</v>
      </c>
      <c r="K70" s="1094">
        <v>-8.25</v>
      </c>
      <c r="L70" s="1093">
        <v>-10.75</v>
      </c>
      <c r="M70" s="1279"/>
    </row>
    <row r="71" spans="1:13" s="936" customFormat="1">
      <c r="A71" s="1082"/>
      <c r="B71" s="1273">
        <v>1099</v>
      </c>
      <c r="C71" s="1273" t="s">
        <v>291</v>
      </c>
      <c r="D71" s="1094">
        <v>-0.625</v>
      </c>
      <c r="E71" s="1094">
        <v>-0.625</v>
      </c>
      <c r="F71" s="1094">
        <v>-1.125</v>
      </c>
      <c r="G71" s="1094">
        <v>-1.625</v>
      </c>
      <c r="H71" s="1094">
        <v>-1.875</v>
      </c>
      <c r="I71" s="1094">
        <v>-3</v>
      </c>
      <c r="J71" s="1094">
        <v>-5.125</v>
      </c>
      <c r="K71" s="1094">
        <v>-9.625</v>
      </c>
      <c r="L71" s="1093">
        <v>-11.75</v>
      </c>
      <c r="M71" s="1279"/>
    </row>
    <row r="72" spans="1:13" s="936" customFormat="1">
      <c r="A72" s="1082"/>
      <c r="B72" s="1273"/>
      <c r="C72" s="1273" t="s">
        <v>290</v>
      </c>
      <c r="D72" s="1094">
        <v>-1.625</v>
      </c>
      <c r="E72" s="1094">
        <v>-1.625</v>
      </c>
      <c r="F72" s="1094">
        <v>-2.25</v>
      </c>
      <c r="G72" s="1094">
        <v>-2.875</v>
      </c>
      <c r="H72" s="1094">
        <v>-3.375</v>
      </c>
      <c r="I72" s="1094">
        <v>-4.25</v>
      </c>
      <c r="J72" s="1094">
        <v>-6.75</v>
      </c>
      <c r="K72" s="1094">
        <v>-11.25</v>
      </c>
      <c r="L72" s="1093" t="s">
        <v>14</v>
      </c>
      <c r="M72" s="1279"/>
    </row>
    <row r="73" spans="1:13" s="936" customFormat="1">
      <c r="A73" s="1082"/>
      <c r="B73" s="1273"/>
      <c r="C73" s="1273" t="s">
        <v>289</v>
      </c>
      <c r="D73" s="1094">
        <v>-4</v>
      </c>
      <c r="E73" s="1094">
        <v>-4</v>
      </c>
      <c r="F73" s="1094">
        <v>-4.75</v>
      </c>
      <c r="G73" s="1094">
        <v>-5.25</v>
      </c>
      <c r="H73" s="1094">
        <v>-5.875</v>
      </c>
      <c r="I73" s="1094">
        <v>-7</v>
      </c>
      <c r="J73" s="1094">
        <v>-9.75</v>
      </c>
      <c r="K73" s="1094" t="s">
        <v>14</v>
      </c>
      <c r="L73" s="1093" t="s">
        <v>14</v>
      </c>
      <c r="M73" s="1279"/>
    </row>
    <row r="74" spans="1:13" s="936" customFormat="1" ht="15.75" thickBot="1">
      <c r="A74" s="1082"/>
      <c r="B74" s="1281"/>
      <c r="C74" s="1089" t="s">
        <v>288</v>
      </c>
      <c r="D74" s="1156">
        <v>-5.75</v>
      </c>
      <c r="E74" s="1156">
        <v>-5.875</v>
      </c>
      <c r="F74" s="1156">
        <v>-6.375</v>
      </c>
      <c r="G74" s="1156">
        <v>-7.125</v>
      </c>
      <c r="H74" s="1156">
        <v>-7.625</v>
      </c>
      <c r="I74" s="1156">
        <v>-9</v>
      </c>
      <c r="J74" s="1156" t="s">
        <v>14</v>
      </c>
      <c r="K74" s="1156" t="s">
        <v>14</v>
      </c>
      <c r="L74" s="1155" t="s">
        <v>14</v>
      </c>
      <c r="M74" s="1279"/>
    </row>
    <row r="75" spans="1:13" s="936" customFormat="1">
      <c r="A75" s="1082"/>
      <c r="B75" s="1213"/>
      <c r="C75" s="1272" t="s">
        <v>377</v>
      </c>
      <c r="D75" s="1091">
        <v>-0.5</v>
      </c>
      <c r="E75" s="1091">
        <v>-0.5</v>
      </c>
      <c r="F75" s="1091">
        <v>-0.75</v>
      </c>
      <c r="G75" s="1091">
        <v>-1.375</v>
      </c>
      <c r="H75" s="1091">
        <v>-1.625</v>
      </c>
      <c r="I75" s="1091">
        <v>-2.75</v>
      </c>
      <c r="J75" s="1091">
        <v>-3.75</v>
      </c>
      <c r="K75" s="1091">
        <v>-7.875</v>
      </c>
      <c r="L75" s="1090" t="s">
        <v>14</v>
      </c>
      <c r="M75" s="1279"/>
    </row>
    <row r="76" spans="1:13" s="936" customFormat="1">
      <c r="A76" s="1082"/>
      <c r="B76" s="1280"/>
      <c r="C76" s="1273" t="s">
        <v>294</v>
      </c>
      <c r="D76" s="1094">
        <v>-0.5</v>
      </c>
      <c r="E76" s="1094">
        <v>-0.5</v>
      </c>
      <c r="F76" s="1094">
        <v>-0.75</v>
      </c>
      <c r="G76" s="1094">
        <v>-1.375</v>
      </c>
      <c r="H76" s="1094">
        <v>-1.625</v>
      </c>
      <c r="I76" s="1094">
        <v>-2.875</v>
      </c>
      <c r="J76" s="1094">
        <v>-4</v>
      </c>
      <c r="K76" s="1094">
        <v>-8.125</v>
      </c>
      <c r="L76" s="1093" t="s">
        <v>14</v>
      </c>
      <c r="M76" s="1279"/>
    </row>
    <row r="77" spans="1:13" s="936" customFormat="1">
      <c r="A77" s="1082"/>
      <c r="B77" s="1280"/>
      <c r="C77" s="1273" t="s">
        <v>293</v>
      </c>
      <c r="D77" s="1094">
        <v>-1</v>
      </c>
      <c r="E77" s="1094">
        <v>-1</v>
      </c>
      <c r="F77" s="1094">
        <v>-1.25</v>
      </c>
      <c r="G77" s="1094">
        <v>-1.875</v>
      </c>
      <c r="H77" s="1094">
        <v>-2.125</v>
      </c>
      <c r="I77" s="1094">
        <v>-3.5</v>
      </c>
      <c r="J77" s="1094">
        <v>-4.75</v>
      </c>
      <c r="K77" s="1094">
        <v>-8.75</v>
      </c>
      <c r="L77" s="1093" t="s">
        <v>14</v>
      </c>
      <c r="M77" s="1279"/>
    </row>
    <row r="78" spans="1:13" s="936" customFormat="1">
      <c r="A78" s="1082"/>
      <c r="B78" s="1273" t="s">
        <v>514</v>
      </c>
      <c r="C78" s="1273" t="s">
        <v>292</v>
      </c>
      <c r="D78" s="1094">
        <v>-1.375</v>
      </c>
      <c r="E78" s="1094">
        <v>-1.375</v>
      </c>
      <c r="F78" s="1094">
        <v>-1.75</v>
      </c>
      <c r="G78" s="1094">
        <v>-2.375</v>
      </c>
      <c r="H78" s="1094">
        <v>-2.625</v>
      </c>
      <c r="I78" s="1094">
        <v>-4.125</v>
      </c>
      <c r="J78" s="1094">
        <v>-6</v>
      </c>
      <c r="K78" s="1094">
        <v>-10.25</v>
      </c>
      <c r="L78" s="1093" t="s">
        <v>14</v>
      </c>
      <c r="M78" s="1279"/>
    </row>
    <row r="79" spans="1:13" s="936" customFormat="1">
      <c r="A79" s="1082"/>
      <c r="B79" s="1273" t="s">
        <v>88</v>
      </c>
      <c r="C79" s="1273" t="s">
        <v>291</v>
      </c>
      <c r="D79" s="1094">
        <v>-2.125</v>
      </c>
      <c r="E79" s="1094">
        <v>-2.125</v>
      </c>
      <c r="F79" s="1094">
        <v>-2.625</v>
      </c>
      <c r="G79" s="1094">
        <v>-3.375</v>
      </c>
      <c r="H79" s="1094">
        <v>-3.625</v>
      </c>
      <c r="I79" s="1094">
        <v>-4.875</v>
      </c>
      <c r="J79" s="1094">
        <v>-7.25</v>
      </c>
      <c r="K79" s="1094">
        <v>-11.875</v>
      </c>
      <c r="L79" s="1093" t="s">
        <v>14</v>
      </c>
      <c r="M79" s="1279"/>
    </row>
    <row r="80" spans="1:13" s="936" customFormat="1">
      <c r="A80" s="1082"/>
      <c r="B80" s="1273"/>
      <c r="C80" s="1273" t="s">
        <v>290</v>
      </c>
      <c r="D80" s="1094">
        <v>-3.375</v>
      </c>
      <c r="E80" s="1094">
        <v>-3.375</v>
      </c>
      <c r="F80" s="1094">
        <v>-4</v>
      </c>
      <c r="G80" s="1094">
        <v>-4.75</v>
      </c>
      <c r="H80" s="1094">
        <v>-5.25</v>
      </c>
      <c r="I80" s="1094">
        <v>-6.25</v>
      </c>
      <c r="J80" s="1094">
        <v>-9</v>
      </c>
      <c r="K80" s="1094" t="s">
        <v>14</v>
      </c>
      <c r="L80" s="1093" t="s">
        <v>14</v>
      </c>
      <c r="M80" s="1279"/>
    </row>
    <row r="81" spans="1:13" s="936" customFormat="1">
      <c r="A81" s="1082"/>
      <c r="B81" s="1273"/>
      <c r="C81" s="1273" t="s">
        <v>289</v>
      </c>
      <c r="D81" s="1094">
        <v>-5.75</v>
      </c>
      <c r="E81" s="1094">
        <v>-5.75</v>
      </c>
      <c r="F81" s="1094">
        <v>-6.5</v>
      </c>
      <c r="G81" s="1094">
        <v>-7.125</v>
      </c>
      <c r="H81" s="1094">
        <v>-7.75</v>
      </c>
      <c r="I81" s="1094">
        <v>-9</v>
      </c>
      <c r="J81" s="1094" t="s">
        <v>14</v>
      </c>
      <c r="K81" s="1094" t="s">
        <v>14</v>
      </c>
      <c r="L81" s="1093" t="s">
        <v>14</v>
      </c>
      <c r="M81" s="1279"/>
    </row>
    <row r="82" spans="1:13" s="936" customFormat="1" ht="15.75" thickBot="1">
      <c r="A82" s="1082"/>
      <c r="B82" s="1089"/>
      <c r="C82" s="1089" t="s">
        <v>288</v>
      </c>
      <c r="D82" s="1087">
        <v>-7.75</v>
      </c>
      <c r="E82" s="1087">
        <v>-7.875</v>
      </c>
      <c r="F82" s="1087">
        <v>-8.375</v>
      </c>
      <c r="G82" s="1087">
        <v>-9.375</v>
      </c>
      <c r="H82" s="1087">
        <v>-9.875</v>
      </c>
      <c r="I82" s="1087" t="s">
        <v>14</v>
      </c>
      <c r="J82" s="1087" t="s">
        <v>14</v>
      </c>
      <c r="K82" s="1087" t="s">
        <v>14</v>
      </c>
      <c r="L82" s="1086" t="s">
        <v>14</v>
      </c>
      <c r="M82" s="1279"/>
    </row>
    <row r="83" spans="1:13" s="936" customFormat="1">
      <c r="A83" s="1082"/>
      <c r="B83" s="1273"/>
      <c r="C83" s="1273" t="s">
        <v>286</v>
      </c>
      <c r="D83" s="1158">
        <v>0</v>
      </c>
      <c r="E83" s="1158">
        <v>0</v>
      </c>
      <c r="F83" s="1158">
        <v>0</v>
      </c>
      <c r="G83" s="1158">
        <v>0</v>
      </c>
      <c r="H83" s="1158">
        <v>0</v>
      </c>
      <c r="I83" s="1158">
        <v>0</v>
      </c>
      <c r="J83" s="1158">
        <v>0</v>
      </c>
      <c r="K83" s="1158">
        <v>0</v>
      </c>
      <c r="L83" s="1279">
        <v>0</v>
      </c>
      <c r="M83" s="1279"/>
    </row>
    <row r="84" spans="1:13" s="936" customFormat="1">
      <c r="A84" s="1082"/>
      <c r="B84" s="1273" t="s">
        <v>287</v>
      </c>
      <c r="C84" s="1273" t="s">
        <v>285</v>
      </c>
      <c r="D84" s="1158">
        <v>0</v>
      </c>
      <c r="E84" s="1158">
        <v>0</v>
      </c>
      <c r="F84" s="1158">
        <v>0</v>
      </c>
      <c r="G84" s="1158">
        <v>0</v>
      </c>
      <c r="H84" s="1158">
        <v>0</v>
      </c>
      <c r="I84" s="1158">
        <v>0</v>
      </c>
      <c r="J84" s="1158">
        <v>0</v>
      </c>
      <c r="K84" s="1158">
        <v>0</v>
      </c>
      <c r="L84" s="1279">
        <v>0</v>
      </c>
      <c r="M84" s="1279"/>
    </row>
    <row r="85" spans="1:13" s="936" customFormat="1" ht="15.75" thickBot="1">
      <c r="A85" s="1082"/>
      <c r="B85" s="1273"/>
      <c r="C85" s="1273" t="s">
        <v>284</v>
      </c>
      <c r="D85" s="1158">
        <v>0</v>
      </c>
      <c r="E85" s="1158">
        <v>0</v>
      </c>
      <c r="F85" s="1158">
        <v>0</v>
      </c>
      <c r="G85" s="1158">
        <v>0</v>
      </c>
      <c r="H85" s="1158">
        <v>0</v>
      </c>
      <c r="I85" s="1158">
        <v>0</v>
      </c>
      <c r="J85" s="1158">
        <v>0</v>
      </c>
      <c r="K85" s="1158">
        <v>0</v>
      </c>
      <c r="L85" s="1279">
        <v>0</v>
      </c>
      <c r="M85" s="1279"/>
    </row>
    <row r="86" spans="1:13" s="936" customFormat="1">
      <c r="A86" s="1082"/>
      <c r="B86" s="1772" t="s">
        <v>198</v>
      </c>
      <c r="C86" s="1272" t="s">
        <v>283</v>
      </c>
      <c r="D86" s="1091">
        <v>0.5</v>
      </c>
      <c r="E86" s="1091">
        <v>0.5</v>
      </c>
      <c r="F86" s="1091">
        <v>0.5</v>
      </c>
      <c r="G86" s="1091">
        <v>0.5</v>
      </c>
      <c r="H86" s="1091">
        <v>0.5</v>
      </c>
      <c r="I86" s="1091">
        <v>0.5</v>
      </c>
      <c r="J86" s="1091">
        <v>0.5</v>
      </c>
      <c r="K86" s="1091">
        <v>0.5</v>
      </c>
      <c r="L86" s="1090">
        <v>0.5</v>
      </c>
      <c r="M86" s="1279"/>
    </row>
    <row r="87" spans="1:13" s="936" customFormat="1">
      <c r="A87" s="1082"/>
      <c r="B87" s="1760"/>
      <c r="C87" s="1273" t="s">
        <v>282</v>
      </c>
      <c r="D87" s="1094">
        <v>0.5</v>
      </c>
      <c r="E87" s="1094">
        <v>0.5</v>
      </c>
      <c r="F87" s="1094">
        <v>0.5</v>
      </c>
      <c r="G87" s="1094">
        <v>0.5</v>
      </c>
      <c r="H87" s="1094">
        <v>0.5</v>
      </c>
      <c r="I87" s="1094">
        <v>0.5</v>
      </c>
      <c r="J87" s="1094">
        <v>0.5</v>
      </c>
      <c r="K87" s="1094">
        <v>0.5</v>
      </c>
      <c r="L87" s="1093">
        <v>0.5</v>
      </c>
      <c r="M87" s="1279"/>
    </row>
    <row r="88" spans="1:13" s="936" customFormat="1">
      <c r="A88" s="1082"/>
      <c r="B88" s="1760"/>
      <c r="C88" s="1273" t="s">
        <v>281</v>
      </c>
      <c r="D88" s="1094">
        <v>0.5</v>
      </c>
      <c r="E88" s="1094">
        <v>0.5</v>
      </c>
      <c r="F88" s="1094">
        <v>0.5</v>
      </c>
      <c r="G88" s="1094">
        <v>0.5</v>
      </c>
      <c r="H88" s="1094">
        <v>0.5</v>
      </c>
      <c r="I88" s="1094">
        <v>0.5</v>
      </c>
      <c r="J88" s="1094">
        <v>0.5</v>
      </c>
      <c r="K88" s="1094">
        <v>0.5</v>
      </c>
      <c r="L88" s="1093">
        <v>0.5</v>
      </c>
      <c r="M88" s="1279"/>
    </row>
    <row r="89" spans="1:13" s="936" customFormat="1" ht="15.75" thickBot="1">
      <c r="A89" s="1082"/>
      <c r="B89" s="1773"/>
      <c r="C89" s="1089" t="s">
        <v>280</v>
      </c>
      <c r="D89" s="1156">
        <v>0</v>
      </c>
      <c r="E89" s="1156">
        <v>0</v>
      </c>
      <c r="F89" s="1156">
        <v>0</v>
      </c>
      <c r="G89" s="1156">
        <v>0</v>
      </c>
      <c r="H89" s="1156">
        <v>0</v>
      </c>
      <c r="I89" s="1156">
        <v>0</v>
      </c>
      <c r="J89" s="1156">
        <v>0</v>
      </c>
      <c r="K89" s="1156">
        <v>0</v>
      </c>
      <c r="L89" s="1155">
        <v>0</v>
      </c>
      <c r="M89" s="1279"/>
    </row>
    <row r="90" spans="1:13" s="936" customFormat="1">
      <c r="A90" s="1082"/>
      <c r="B90" s="1772" t="s">
        <v>279</v>
      </c>
      <c r="C90" s="1273" t="s">
        <v>694</v>
      </c>
      <c r="D90" s="1153">
        <v>-0.25</v>
      </c>
      <c r="E90" s="1153">
        <v>-0.25</v>
      </c>
      <c r="F90" s="1153">
        <v>-0.25</v>
      </c>
      <c r="G90" s="1153">
        <v>-0.25</v>
      </c>
      <c r="H90" s="1153">
        <v>-0.25</v>
      </c>
      <c r="I90" s="1153">
        <v>-0.25</v>
      </c>
      <c r="J90" s="1153">
        <v>-0.25</v>
      </c>
      <c r="K90" s="1153">
        <v>-0.25</v>
      </c>
      <c r="L90" s="1152">
        <v>-0.25</v>
      </c>
      <c r="M90" s="1279"/>
    </row>
    <row r="91" spans="1:13" s="936" customFormat="1">
      <c r="A91" s="1082"/>
      <c r="B91" s="1760"/>
      <c r="C91" s="1273" t="s">
        <v>695</v>
      </c>
      <c r="D91" s="1153">
        <v>0</v>
      </c>
      <c r="E91" s="1153">
        <v>0</v>
      </c>
      <c r="F91" s="1153">
        <v>0</v>
      </c>
      <c r="G91" s="1153">
        <v>0</v>
      </c>
      <c r="H91" s="1153">
        <v>0</v>
      </c>
      <c r="I91" s="1153">
        <v>0</v>
      </c>
      <c r="J91" s="1153">
        <v>0</v>
      </c>
      <c r="K91" s="1153">
        <v>0</v>
      </c>
      <c r="L91" s="1152">
        <v>0</v>
      </c>
      <c r="M91" s="1279"/>
    </row>
    <row r="92" spans="1:13" s="936" customFormat="1">
      <c r="A92" s="1082"/>
      <c r="B92" s="1760"/>
      <c r="C92" s="1273" t="s">
        <v>696</v>
      </c>
      <c r="D92" s="1153">
        <v>0</v>
      </c>
      <c r="E92" s="1153">
        <v>0</v>
      </c>
      <c r="F92" s="1153">
        <v>0</v>
      </c>
      <c r="G92" s="1153">
        <v>0</v>
      </c>
      <c r="H92" s="1153">
        <v>0</v>
      </c>
      <c r="I92" s="1153">
        <v>0</v>
      </c>
      <c r="J92" s="1153">
        <v>0</v>
      </c>
      <c r="K92" s="1153">
        <v>0</v>
      </c>
      <c r="L92" s="1152">
        <v>0</v>
      </c>
      <c r="M92" s="1279"/>
    </row>
    <row r="93" spans="1:13" s="936" customFormat="1">
      <c r="A93" s="1082"/>
      <c r="B93" s="1760"/>
      <c r="C93" s="1273" t="s">
        <v>697</v>
      </c>
      <c r="D93" s="1153">
        <v>0</v>
      </c>
      <c r="E93" s="1153">
        <v>0</v>
      </c>
      <c r="F93" s="1153">
        <v>0</v>
      </c>
      <c r="G93" s="1153">
        <v>0</v>
      </c>
      <c r="H93" s="1153">
        <v>0</v>
      </c>
      <c r="I93" s="1153">
        <v>0</v>
      </c>
      <c r="J93" s="1153">
        <v>0</v>
      </c>
      <c r="K93" s="1153">
        <v>0</v>
      </c>
      <c r="L93" s="1152">
        <v>0</v>
      </c>
      <c r="M93" s="1279"/>
    </row>
    <row r="94" spans="1:13" s="936" customFormat="1">
      <c r="A94" s="1082"/>
      <c r="B94" s="1760"/>
      <c r="C94" s="1273" t="s">
        <v>698</v>
      </c>
      <c r="D94" s="1153">
        <v>0</v>
      </c>
      <c r="E94" s="1153">
        <v>0</v>
      </c>
      <c r="F94" s="1153">
        <v>0</v>
      </c>
      <c r="G94" s="1153">
        <v>0</v>
      </c>
      <c r="H94" s="1153">
        <v>0</v>
      </c>
      <c r="I94" s="1153">
        <v>0</v>
      </c>
      <c r="J94" s="1153">
        <v>0</v>
      </c>
      <c r="K94" s="1153">
        <v>0</v>
      </c>
      <c r="L94" s="1152">
        <v>0</v>
      </c>
      <c r="M94" s="1279"/>
    </row>
    <row r="95" spans="1:13" s="936" customFormat="1">
      <c r="A95" s="1082"/>
      <c r="B95" s="1760"/>
      <c r="C95" s="1273" t="s">
        <v>699</v>
      </c>
      <c r="D95" s="1094">
        <v>0</v>
      </c>
      <c r="E95" s="1094">
        <v>0</v>
      </c>
      <c r="F95" s="1094">
        <v>0</v>
      </c>
      <c r="G95" s="1094">
        <v>0</v>
      </c>
      <c r="H95" s="1094">
        <v>0</v>
      </c>
      <c r="I95" s="1094">
        <v>0</v>
      </c>
      <c r="J95" s="1094">
        <v>0</v>
      </c>
      <c r="K95" s="1094">
        <v>0</v>
      </c>
      <c r="L95" s="1093">
        <v>0</v>
      </c>
      <c r="M95" s="1279"/>
    </row>
    <row r="96" spans="1:13" s="936" customFormat="1">
      <c r="A96" s="1082"/>
      <c r="B96" s="1760"/>
      <c r="C96" s="1273" t="s">
        <v>700</v>
      </c>
      <c r="D96" s="1094">
        <v>0</v>
      </c>
      <c r="E96" s="1094">
        <v>0</v>
      </c>
      <c r="F96" s="1094">
        <v>0</v>
      </c>
      <c r="G96" s="1094">
        <v>0</v>
      </c>
      <c r="H96" s="1094">
        <v>0</v>
      </c>
      <c r="I96" s="1094">
        <v>0</v>
      </c>
      <c r="J96" s="1094">
        <v>0</v>
      </c>
      <c r="K96" s="1094">
        <v>0</v>
      </c>
      <c r="L96" s="1093">
        <v>0</v>
      </c>
      <c r="M96" s="1279"/>
    </row>
    <row r="97" spans="1:13" s="936" customFormat="1">
      <c r="A97" s="1082"/>
      <c r="B97" s="1760"/>
      <c r="C97" s="1273" t="s">
        <v>701</v>
      </c>
      <c r="D97" s="1094">
        <v>0</v>
      </c>
      <c r="E97" s="1094">
        <v>0</v>
      </c>
      <c r="F97" s="1094">
        <v>0</v>
      </c>
      <c r="G97" s="1094">
        <v>0</v>
      </c>
      <c r="H97" s="1094">
        <v>0</v>
      </c>
      <c r="I97" s="1094">
        <v>0</v>
      </c>
      <c r="J97" s="1094">
        <v>0</v>
      </c>
      <c r="K97" s="1094">
        <v>0</v>
      </c>
      <c r="L97" s="1093">
        <v>0</v>
      </c>
      <c r="M97" s="1314"/>
    </row>
    <row r="98" spans="1:13" s="936" customFormat="1" ht="15.75" thickBot="1">
      <c r="A98" s="1082"/>
      <c r="B98" s="1773"/>
      <c r="C98" s="1273" t="s">
        <v>702</v>
      </c>
      <c r="D98" s="1172">
        <v>0</v>
      </c>
      <c r="E98" s="1172">
        <v>0</v>
      </c>
      <c r="F98" s="1172">
        <v>0</v>
      </c>
      <c r="G98" s="1172">
        <v>0</v>
      </c>
      <c r="H98" s="1172">
        <v>0</v>
      </c>
      <c r="I98" s="1172">
        <v>0</v>
      </c>
      <c r="J98" s="1172">
        <v>0</v>
      </c>
      <c r="K98" s="1172">
        <v>0</v>
      </c>
      <c r="L98" s="1171">
        <v>0</v>
      </c>
      <c r="M98" s="1315"/>
    </row>
    <row r="99" spans="1:13" s="936" customFormat="1">
      <c r="A99" s="1082"/>
      <c r="B99" s="1772" t="s">
        <v>45</v>
      </c>
      <c r="C99" s="1272" t="s">
        <v>703</v>
      </c>
      <c r="D99" s="1091">
        <v>-0.25</v>
      </c>
      <c r="E99" s="1091">
        <v>-0.25</v>
      </c>
      <c r="F99" s="1091">
        <v>-0.25</v>
      </c>
      <c r="G99" s="1091">
        <v>-0.375</v>
      </c>
      <c r="H99" s="1091">
        <v>-0.375</v>
      </c>
      <c r="I99" s="1091">
        <v>-0.375</v>
      </c>
      <c r="J99" s="1091">
        <v>-0.5</v>
      </c>
      <c r="K99" s="1091">
        <v>-0.75</v>
      </c>
      <c r="L99" s="1090">
        <v>-0.75</v>
      </c>
      <c r="M99" s="940"/>
    </row>
    <row r="100" spans="1:13" s="936" customFormat="1" ht="15.75" thickBot="1">
      <c r="A100" s="1082"/>
      <c r="B100" s="1773"/>
      <c r="C100" s="1089" t="s">
        <v>376</v>
      </c>
      <c r="D100" s="1156">
        <v>-0.75</v>
      </c>
      <c r="E100" s="1156">
        <v>-0.75</v>
      </c>
      <c r="F100" s="1156">
        <v>-0.75</v>
      </c>
      <c r="G100" s="1156">
        <v>-0.75</v>
      </c>
      <c r="H100" s="1156">
        <v>-0.75</v>
      </c>
      <c r="I100" s="1156">
        <v>-0.75</v>
      </c>
      <c r="J100" s="1156">
        <v>-1</v>
      </c>
      <c r="K100" s="1156">
        <v>-1.25</v>
      </c>
      <c r="L100" s="1155">
        <v>-1.25</v>
      </c>
      <c r="M100" s="940"/>
    </row>
    <row r="101" spans="1:13" s="936" customFormat="1">
      <c r="A101" s="1082"/>
      <c r="B101" s="1273"/>
      <c r="C101" s="1273" t="s">
        <v>57</v>
      </c>
      <c r="D101" s="1158">
        <v>0</v>
      </c>
      <c r="E101" s="1158">
        <v>0</v>
      </c>
      <c r="F101" s="1158">
        <v>0</v>
      </c>
      <c r="G101" s="1158">
        <v>0</v>
      </c>
      <c r="H101" s="1158">
        <v>0</v>
      </c>
      <c r="I101" s="1158">
        <v>0</v>
      </c>
      <c r="J101" s="1158">
        <v>0</v>
      </c>
      <c r="K101" s="1158">
        <v>0</v>
      </c>
      <c r="L101" s="1279">
        <v>0</v>
      </c>
      <c r="M101" s="940"/>
    </row>
    <row r="102" spans="1:13" s="936" customFormat="1">
      <c r="A102" s="1082"/>
      <c r="B102" s="1273" t="s">
        <v>56</v>
      </c>
      <c r="C102" s="1273" t="s">
        <v>270</v>
      </c>
      <c r="D102" s="1158">
        <v>0</v>
      </c>
      <c r="E102" s="1158">
        <v>0</v>
      </c>
      <c r="F102" s="1158">
        <v>0</v>
      </c>
      <c r="G102" s="1158">
        <v>0</v>
      </c>
      <c r="H102" s="1158">
        <v>0</v>
      </c>
      <c r="I102" s="1158">
        <v>0</v>
      </c>
      <c r="J102" s="1158">
        <v>0</v>
      </c>
      <c r="K102" s="1158">
        <v>0</v>
      </c>
      <c r="L102" s="1279">
        <v>0</v>
      </c>
      <c r="M102" s="940"/>
    </row>
    <row r="103" spans="1:13" s="936" customFormat="1" ht="15.75" thickBot="1">
      <c r="A103" s="1082"/>
      <c r="B103" s="1273"/>
      <c r="C103" s="1273" t="s">
        <v>269</v>
      </c>
      <c r="D103" s="1158">
        <v>0</v>
      </c>
      <c r="E103" s="1158">
        <v>0</v>
      </c>
      <c r="F103" s="1158">
        <v>0</v>
      </c>
      <c r="G103" s="1158">
        <v>0</v>
      </c>
      <c r="H103" s="1158">
        <v>0</v>
      </c>
      <c r="I103" s="1158">
        <v>0</v>
      </c>
      <c r="J103" s="1158">
        <v>0</v>
      </c>
      <c r="K103" s="1158">
        <v>0</v>
      </c>
      <c r="L103" s="1279">
        <v>0</v>
      </c>
      <c r="M103" s="940"/>
    </row>
    <row r="104" spans="1:13" s="936" customFormat="1">
      <c r="A104" s="1082"/>
      <c r="B104" s="1772" t="s">
        <v>60</v>
      </c>
      <c r="C104" s="1272" t="s">
        <v>268</v>
      </c>
      <c r="D104" s="1091">
        <v>0</v>
      </c>
      <c r="E104" s="1091">
        <v>0</v>
      </c>
      <c r="F104" s="1091">
        <v>0</v>
      </c>
      <c r="G104" s="1091">
        <v>0</v>
      </c>
      <c r="H104" s="1091">
        <v>0</v>
      </c>
      <c r="I104" s="1091">
        <v>0</v>
      </c>
      <c r="J104" s="1091">
        <v>0</v>
      </c>
      <c r="K104" s="1091">
        <v>0</v>
      </c>
      <c r="L104" s="1090">
        <v>0</v>
      </c>
      <c r="M104" s="940"/>
    </row>
    <row r="105" spans="1:13" s="936" customFormat="1" ht="15.75" thickBot="1">
      <c r="A105" s="1082"/>
      <c r="B105" s="1773"/>
      <c r="C105" s="1089" t="s">
        <v>267</v>
      </c>
      <c r="D105" s="1156">
        <v>-0.5</v>
      </c>
      <c r="E105" s="1156">
        <v>-0.5</v>
      </c>
      <c r="F105" s="1156">
        <v>-0.5</v>
      </c>
      <c r="G105" s="1156">
        <v>-0.5</v>
      </c>
      <c r="H105" s="1156">
        <v>-0.625</v>
      </c>
      <c r="I105" s="1156">
        <v>-0.75</v>
      </c>
      <c r="J105" s="1156">
        <v>-0.75</v>
      </c>
      <c r="K105" s="1156" t="s">
        <v>14</v>
      </c>
      <c r="L105" s="1155" t="s">
        <v>14</v>
      </c>
      <c r="M105" s="940"/>
    </row>
    <row r="106" spans="1:13" s="936" customFormat="1">
      <c r="A106" s="1082"/>
      <c r="B106" s="1772" t="s">
        <v>62</v>
      </c>
      <c r="C106" s="1272" t="s">
        <v>266</v>
      </c>
      <c r="D106" s="1091">
        <v>0</v>
      </c>
      <c r="E106" s="1091">
        <v>0</v>
      </c>
      <c r="F106" s="1091">
        <v>0</v>
      </c>
      <c r="G106" s="1091">
        <v>0</v>
      </c>
      <c r="H106" s="1091">
        <v>0</v>
      </c>
      <c r="I106" s="1091">
        <v>0</v>
      </c>
      <c r="J106" s="1091">
        <v>0</v>
      </c>
      <c r="K106" s="1091">
        <v>0</v>
      </c>
      <c r="L106" s="1090">
        <v>0</v>
      </c>
      <c r="M106" s="940"/>
    </row>
    <row r="107" spans="1:13" s="936" customFormat="1" ht="15" customHeight="1">
      <c r="A107" s="1082"/>
      <c r="B107" s="1760"/>
      <c r="C107" s="1273" t="s">
        <v>265</v>
      </c>
      <c r="D107" s="1172">
        <v>0</v>
      </c>
      <c r="E107" s="1172">
        <v>0</v>
      </c>
      <c r="F107" s="1172">
        <v>0</v>
      </c>
      <c r="G107" s="1172">
        <v>0</v>
      </c>
      <c r="H107" s="1172">
        <v>0</v>
      </c>
      <c r="I107" s="1172">
        <v>0</v>
      </c>
      <c r="J107" s="1172">
        <v>0</v>
      </c>
      <c r="K107" s="1172">
        <v>0</v>
      </c>
      <c r="L107" s="1171">
        <v>0</v>
      </c>
      <c r="M107" s="940"/>
    </row>
    <row r="108" spans="1:13" s="936" customFormat="1" ht="15" customHeight="1">
      <c r="A108" s="1082"/>
      <c r="B108" s="1760"/>
      <c r="C108" s="1273" t="s">
        <v>264</v>
      </c>
      <c r="D108" s="1094">
        <v>0</v>
      </c>
      <c r="E108" s="1094">
        <v>0</v>
      </c>
      <c r="F108" s="1094">
        <v>0</v>
      </c>
      <c r="G108" s="1094">
        <v>0</v>
      </c>
      <c r="H108" s="1094">
        <v>0</v>
      </c>
      <c r="I108" s="1094">
        <v>0</v>
      </c>
      <c r="J108" s="1094">
        <v>0</v>
      </c>
      <c r="K108" s="1094">
        <v>0</v>
      </c>
      <c r="L108" s="1093">
        <v>0</v>
      </c>
      <c r="M108" s="940"/>
    </row>
    <row r="109" spans="1:13" s="936" customFormat="1" ht="15" customHeight="1">
      <c r="A109" s="1082"/>
      <c r="B109" s="1760"/>
      <c r="C109" s="1273" t="s">
        <v>263</v>
      </c>
      <c r="D109" s="1094">
        <v>0</v>
      </c>
      <c r="E109" s="1094">
        <v>0</v>
      </c>
      <c r="F109" s="1094">
        <v>0</v>
      </c>
      <c r="G109" s="1094">
        <v>0</v>
      </c>
      <c r="H109" s="1094">
        <v>0</v>
      </c>
      <c r="I109" s="1094">
        <v>0</v>
      </c>
      <c r="J109" s="1094">
        <v>0</v>
      </c>
      <c r="K109" s="1094">
        <v>0</v>
      </c>
      <c r="L109" s="1093">
        <v>0</v>
      </c>
      <c r="M109" s="940"/>
    </row>
    <row r="110" spans="1:13" s="936" customFormat="1" ht="15" customHeight="1">
      <c r="A110" s="1082"/>
      <c r="B110" s="1760"/>
      <c r="C110" s="1273" t="s">
        <v>262</v>
      </c>
      <c r="D110" s="1094">
        <v>0</v>
      </c>
      <c r="E110" s="1094">
        <v>0</v>
      </c>
      <c r="F110" s="1094">
        <v>0</v>
      </c>
      <c r="G110" s="1094">
        <v>0</v>
      </c>
      <c r="H110" s="1094">
        <v>0</v>
      </c>
      <c r="I110" s="1094">
        <v>0</v>
      </c>
      <c r="J110" s="1094">
        <v>0</v>
      </c>
      <c r="K110" s="1094">
        <v>0</v>
      </c>
      <c r="L110" s="1093">
        <v>0</v>
      </c>
      <c r="M110" s="940"/>
    </row>
    <row r="111" spans="1:13" s="936" customFormat="1" ht="15" customHeight="1">
      <c r="A111" s="1082"/>
      <c r="B111" s="1760"/>
      <c r="C111" s="1273" t="s">
        <v>261</v>
      </c>
      <c r="D111" s="1094">
        <v>0</v>
      </c>
      <c r="E111" s="1094">
        <v>0</v>
      </c>
      <c r="F111" s="1094">
        <v>0</v>
      </c>
      <c r="G111" s="1094">
        <v>0</v>
      </c>
      <c r="H111" s="1094">
        <v>0</v>
      </c>
      <c r="I111" s="1094">
        <v>0</v>
      </c>
      <c r="J111" s="1094">
        <v>0</v>
      </c>
      <c r="K111" s="1094">
        <v>0</v>
      </c>
      <c r="L111" s="1093">
        <v>0</v>
      </c>
      <c r="M111" s="940"/>
    </row>
    <row r="112" spans="1:13" s="936" customFormat="1" ht="15" customHeight="1">
      <c r="A112" s="1082"/>
      <c r="B112" s="1760"/>
      <c r="C112" s="1273" t="s">
        <v>260</v>
      </c>
      <c r="D112" s="1094">
        <v>-0.25</v>
      </c>
      <c r="E112" s="1094">
        <v>-0.25</v>
      </c>
      <c r="F112" s="1094">
        <v>-0.25</v>
      </c>
      <c r="G112" s="1094">
        <v>-0.375</v>
      </c>
      <c r="H112" s="1094">
        <v>-0.375</v>
      </c>
      <c r="I112" s="1094">
        <v>-0.5</v>
      </c>
      <c r="J112" s="1094" t="s">
        <v>14</v>
      </c>
      <c r="K112" s="1094" t="s">
        <v>14</v>
      </c>
      <c r="L112" s="1093" t="s">
        <v>14</v>
      </c>
      <c r="M112" s="940"/>
    </row>
    <row r="113" spans="1:13" s="936" customFormat="1" ht="15" customHeight="1">
      <c r="A113" s="1082"/>
      <c r="B113" s="1760"/>
      <c r="C113" s="1273" t="s">
        <v>259</v>
      </c>
      <c r="D113" s="1094">
        <v>-2</v>
      </c>
      <c r="E113" s="1094">
        <v>-2</v>
      </c>
      <c r="F113" s="1094">
        <v>-2</v>
      </c>
      <c r="G113" s="1094">
        <v>-2</v>
      </c>
      <c r="H113" s="1094">
        <v>-2</v>
      </c>
      <c r="I113" s="1094">
        <v>-2</v>
      </c>
      <c r="J113" s="1094">
        <v>-2</v>
      </c>
      <c r="K113" s="1094">
        <v>-2</v>
      </c>
      <c r="L113" s="1093">
        <v>-2</v>
      </c>
      <c r="M113" s="940"/>
    </row>
    <row r="114" spans="1:13" s="936" customFormat="1" ht="15.75" thickBot="1">
      <c r="A114" s="1082"/>
      <c r="B114" s="1773"/>
      <c r="C114" s="1089" t="s">
        <v>348</v>
      </c>
      <c r="D114" s="1156">
        <v>-0.5</v>
      </c>
      <c r="E114" s="1156">
        <v>-0.5</v>
      </c>
      <c r="F114" s="1156">
        <v>-0.5</v>
      </c>
      <c r="G114" s="1156">
        <v>-0.5</v>
      </c>
      <c r="H114" s="1156">
        <v>-0.5</v>
      </c>
      <c r="I114" s="1156">
        <v>-0.5</v>
      </c>
      <c r="J114" s="1156" t="s">
        <v>14</v>
      </c>
      <c r="K114" s="1156" t="s">
        <v>14</v>
      </c>
      <c r="L114" s="1155" t="s">
        <v>14</v>
      </c>
      <c r="M114" s="940"/>
    </row>
    <row r="115" spans="1:13" s="936" customFormat="1">
      <c r="A115" s="1082"/>
      <c r="B115"/>
      <c r="C115"/>
      <c r="D115"/>
      <c r="E115"/>
      <c r="F115"/>
      <c r="G115"/>
      <c r="H115"/>
      <c r="I115"/>
      <c r="M115" s="940"/>
    </row>
    <row r="116" spans="1:13" s="936" customFormat="1">
      <c r="A116" s="1082"/>
      <c r="B116"/>
      <c r="C116"/>
      <c r="D116"/>
      <c r="E116"/>
      <c r="F116"/>
      <c r="G116"/>
      <c r="H116"/>
      <c r="I116"/>
      <c r="M116" s="940"/>
    </row>
    <row r="117" spans="1:13" s="936" customFormat="1">
      <c r="A117" s="1082"/>
      <c r="B117"/>
      <c r="C117"/>
      <c r="D117"/>
      <c r="E117"/>
      <c r="F117"/>
      <c r="G117"/>
      <c r="H117"/>
      <c r="I117"/>
      <c r="M117" s="940"/>
    </row>
    <row r="118" spans="1:13" s="936" customFormat="1">
      <c r="A118" s="1082"/>
      <c r="M118" s="940"/>
    </row>
    <row r="119" spans="1:13" s="936" customFormat="1">
      <c r="A119" s="1082"/>
      <c r="M119" s="940"/>
    </row>
    <row r="120" spans="1:13" s="936" customFormat="1">
      <c r="A120" s="1082"/>
      <c r="M120" s="940"/>
    </row>
    <row r="121" spans="1:13" s="936" customFormat="1">
      <c r="A121" s="1082"/>
      <c r="M121" s="940"/>
    </row>
    <row r="122" spans="1:13" s="936" customFormat="1">
      <c r="A122" s="1082"/>
      <c r="M122" s="940"/>
    </row>
    <row r="123" spans="1:13" s="936" customFormat="1">
      <c r="A123" s="1082"/>
      <c r="M123" s="940"/>
    </row>
    <row r="124" spans="1:13" s="936" customFormat="1">
      <c r="A124" s="1082"/>
      <c r="M124" s="940"/>
    </row>
    <row r="125" spans="1:13" s="936" customFormat="1">
      <c r="A125" s="1082"/>
      <c r="M125" s="940"/>
    </row>
    <row r="126" spans="1:13" s="936" customFormat="1">
      <c r="A126" s="1082"/>
      <c r="M126" s="940"/>
    </row>
    <row r="127" spans="1:13" s="936" customFormat="1">
      <c r="A127" s="1082"/>
      <c r="M127" s="940"/>
    </row>
    <row r="128" spans="1:13" s="936" customFormat="1">
      <c r="A128" s="1082"/>
      <c r="M128" s="940"/>
    </row>
    <row r="129" spans="1:13" s="936" customFormat="1">
      <c r="A129" s="1082"/>
      <c r="M129" s="940"/>
    </row>
    <row r="130" spans="1:13" s="936" customFormat="1">
      <c r="A130" s="1082"/>
      <c r="M130" s="940"/>
    </row>
    <row r="131" spans="1:13" s="936" customFormat="1">
      <c r="A131" s="1082"/>
      <c r="M131" s="940"/>
    </row>
    <row r="132" spans="1:13" s="936" customFormat="1">
      <c r="A132" s="1082"/>
      <c r="G132" s="1081"/>
      <c r="H132" s="1080"/>
      <c r="M132" s="940"/>
    </row>
    <row r="133" spans="1:13" s="936" customFormat="1" ht="15.75" thickBot="1">
      <c r="A133" s="1082"/>
      <c r="G133" s="1081"/>
      <c r="H133" s="1080"/>
      <c r="M133" s="940"/>
    </row>
    <row r="134" spans="1:13" s="936" customFormat="1" ht="15" customHeight="1">
      <c r="A134" s="945"/>
      <c r="B134" s="1799" t="s">
        <v>181</v>
      </c>
      <c r="C134" s="1799"/>
      <c r="D134" s="1799"/>
      <c r="E134" s="1799"/>
      <c r="F134" s="1799"/>
      <c r="G134" s="1799"/>
      <c r="H134" s="1799"/>
      <c r="I134" s="1799"/>
      <c r="J134" s="1799"/>
      <c r="K134" s="1799"/>
      <c r="L134" s="1799"/>
      <c r="M134" s="1820"/>
    </row>
    <row r="135" spans="1:13" s="936" customFormat="1">
      <c r="A135" s="942"/>
      <c r="B135" s="1800"/>
      <c r="C135" s="1800"/>
      <c r="D135" s="1800"/>
      <c r="E135" s="1800"/>
      <c r="F135" s="1800"/>
      <c r="G135" s="1800"/>
      <c r="H135" s="1800"/>
      <c r="I135" s="1800"/>
      <c r="J135" s="1800"/>
      <c r="K135" s="1800"/>
      <c r="L135" s="1800"/>
      <c r="M135" s="1821"/>
    </row>
    <row r="136" spans="1:13" s="936" customFormat="1">
      <c r="A136" s="942"/>
      <c r="B136" s="1800"/>
      <c r="C136" s="1800"/>
      <c r="D136" s="1800"/>
      <c r="E136" s="1800"/>
      <c r="F136" s="1800"/>
      <c r="G136" s="1800"/>
      <c r="H136" s="1800"/>
      <c r="I136" s="1800"/>
      <c r="J136" s="1800"/>
      <c r="K136" s="1800"/>
      <c r="L136" s="1800"/>
      <c r="M136" s="1821"/>
    </row>
    <row r="137" spans="1:13" s="936" customFormat="1" ht="15.75" thickBot="1">
      <c r="A137" s="939"/>
      <c r="B137" s="1801"/>
      <c r="C137" s="1801"/>
      <c r="D137" s="1801"/>
      <c r="E137" s="1801"/>
      <c r="F137" s="1801"/>
      <c r="G137" s="1801"/>
      <c r="H137" s="1801"/>
      <c r="I137" s="1801"/>
      <c r="J137" s="1801"/>
      <c r="K137" s="1801"/>
      <c r="L137" s="1801"/>
      <c r="M137" s="1822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margins!$X$178:$X$180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margins!$X$164:$X$173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margins!$X$160:$X$162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margins!$X$155:$X$158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margins!$X$151:$X$153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margins!$X$140:$X$149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margins!$X$134:$X$137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margins!$X$131:$X$133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margins!$X$128:$X$129</xm:f>
          </x14:formula1>
          <xm:sqref>P19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7"/>
  <sheetViews>
    <sheetView showGridLines="0" workbookViewId="0">
      <selection activeCell="S69" sqref="S69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636</v>
      </c>
      <c r="N4" s="1"/>
      <c r="O4" s="1"/>
    </row>
    <row r="5" spans="3:20" ht="19.5">
      <c r="C5" s="9"/>
      <c r="F5" s="34"/>
      <c r="G5" s="34"/>
      <c r="H5" s="34"/>
      <c r="I5" s="34"/>
      <c r="J5" s="34"/>
      <c r="K5" s="30" t="s">
        <v>1</v>
      </c>
      <c r="N5" s="1"/>
      <c r="O5" s="1"/>
    </row>
    <row r="6" spans="3:20" ht="15.75">
      <c r="C6" s="1891" t="s">
        <v>305</v>
      </c>
      <c r="D6" s="1891"/>
      <c r="L6" s="1"/>
      <c r="N6" s="1"/>
      <c r="O6" s="1"/>
    </row>
    <row r="7" spans="3:20" ht="15.75" thickBot="1">
      <c r="C7" s="10" t="s">
        <v>3</v>
      </c>
      <c r="D7" s="11" t="s">
        <v>304</v>
      </c>
      <c r="F7" s="527" t="s">
        <v>2</v>
      </c>
      <c r="G7" s="27"/>
      <c r="H7"/>
      <c r="I7" s="35" t="s">
        <v>303</v>
      </c>
      <c r="J7"/>
      <c r="K7"/>
      <c r="N7" s="1"/>
      <c r="O7" s="1"/>
    </row>
    <row r="8" spans="3:20" ht="15.75" thickBot="1">
      <c r="C8" s="113">
        <f>margins!AH3</f>
        <v>12.375</v>
      </c>
      <c r="D8" s="114">
        <v>110.9</v>
      </c>
      <c r="E8" s="15"/>
      <c r="F8" s="12" t="s">
        <v>6</v>
      </c>
      <c r="G8" s="13">
        <v>100</v>
      </c>
      <c r="H8"/>
      <c r="I8" s="526" t="s">
        <v>342</v>
      </c>
      <c r="J8" s="525"/>
      <c r="K8" s="525"/>
      <c r="L8" s="525"/>
      <c r="M8" s="524"/>
      <c r="R8" s="424" t="s">
        <v>347</v>
      </c>
      <c r="S8" s="425"/>
      <c r="T8" s="1414">
        <v>46223.360254629632</v>
      </c>
    </row>
    <row r="9" spans="3:20" ht="15.75" thickBot="1">
      <c r="C9" s="113">
        <f>margins!AH4</f>
        <v>12.25</v>
      </c>
      <c r="D9" s="114">
        <v>110.77500000000001</v>
      </c>
      <c r="E9" s="18"/>
      <c r="F9" s="16" t="s">
        <v>8</v>
      </c>
      <c r="G9" s="523">
        <v>0</v>
      </c>
      <c r="H9"/>
      <c r="I9" s="82" t="s">
        <v>343</v>
      </c>
      <c r="J9"/>
      <c r="K9"/>
      <c r="M9" s="522"/>
    </row>
    <row r="10" spans="3:20" ht="15.75" thickBot="1">
      <c r="C10" s="113">
        <f>margins!AH5</f>
        <v>12.125</v>
      </c>
      <c r="D10" s="114">
        <v>110.65</v>
      </c>
      <c r="E10" s="18"/>
      <c r="F10" s="16" t="s">
        <v>10</v>
      </c>
      <c r="G10" s="639">
        <v>-0.375</v>
      </c>
      <c r="H10"/>
      <c r="I10" s="82" t="s">
        <v>302</v>
      </c>
      <c r="J10"/>
      <c r="K10"/>
      <c r="M10" s="522"/>
      <c r="O10" s="1"/>
      <c r="R10" s="441" t="s">
        <v>195</v>
      </c>
      <c r="S10" s="442" t="s">
        <v>196</v>
      </c>
      <c r="T10" s="442" t="s">
        <v>197</v>
      </c>
    </row>
    <row r="11" spans="3:20">
      <c r="C11" s="113">
        <f>margins!AH6</f>
        <v>12</v>
      </c>
      <c r="D11" s="114">
        <v>110.52500000000001</v>
      </c>
      <c r="E11" s="18"/>
      <c r="F11" s="642"/>
      <c r="G11" s="643"/>
      <c r="H11"/>
      <c r="I11" s="521" t="s">
        <v>301</v>
      </c>
      <c r="J11" s="520"/>
      <c r="K11" s="520"/>
      <c r="L11" s="520"/>
      <c r="M11" s="519"/>
      <c r="O11" s="1"/>
    </row>
    <row r="12" spans="3:20" ht="15.75" thickBot="1">
      <c r="C12" s="113">
        <f>margins!AH7</f>
        <v>11.875</v>
      </c>
      <c r="D12" s="114">
        <v>110.4</v>
      </c>
      <c r="E12" s="18"/>
      <c r="F12" s="640" t="s">
        <v>300</v>
      </c>
      <c r="G12" s="641"/>
      <c r="H12"/>
      <c r="I12" s="1540"/>
      <c r="J12" s="1540"/>
      <c r="K12" s="1540"/>
      <c r="L12" s="1540"/>
      <c r="M12" s="1540"/>
      <c r="O12" s="1"/>
    </row>
    <row r="13" spans="3:20">
      <c r="C13" s="113">
        <f>margins!AH8</f>
        <v>11.75</v>
      </c>
      <c r="D13" s="114">
        <v>110.27500000000001</v>
      </c>
      <c r="E13" s="18"/>
      <c r="F13" s="31" t="s">
        <v>83</v>
      </c>
      <c r="G13" s="33">
        <v>-0.25</v>
      </c>
      <c r="H13"/>
      <c r="I13" s="1887" t="s">
        <v>742</v>
      </c>
      <c r="J13" s="1888"/>
      <c r="K13" s="1534"/>
      <c r="L13" s="1889">
        <v>0.5</v>
      </c>
      <c r="M13" s="1890"/>
      <c r="O13" s="1"/>
      <c r="R13" s="579" t="s">
        <v>199</v>
      </c>
      <c r="S13" s="431">
        <v>9.5</v>
      </c>
      <c r="T13" s="630">
        <f>VLOOKUP(S13,$C$8:$D$48,2,FALSE)</f>
        <v>105.9</v>
      </c>
    </row>
    <row r="14" spans="3:20">
      <c r="C14" s="113">
        <f>margins!AH9</f>
        <v>11.625</v>
      </c>
      <c r="D14" s="114">
        <v>110.15</v>
      </c>
      <c r="E14" s="18"/>
      <c r="F14" s="31" t="s">
        <v>84</v>
      </c>
      <c r="G14" s="33">
        <v>-0.32500000000000001</v>
      </c>
      <c r="H14"/>
      <c r="I14" s="1537" t="s">
        <v>743</v>
      </c>
      <c r="J14" s="520"/>
      <c r="K14" s="520"/>
      <c r="L14" s="520"/>
      <c r="M14" s="519"/>
      <c r="O14" s="1"/>
      <c r="R14" s="581" t="s">
        <v>353</v>
      </c>
      <c r="S14" s="432" t="s">
        <v>19</v>
      </c>
      <c r="T14" s="436"/>
    </row>
    <row r="15" spans="3:20" ht="15" customHeight="1">
      <c r="C15" s="113">
        <f>margins!AH10</f>
        <v>11.5</v>
      </c>
      <c r="D15" s="114">
        <v>110.02500000000001</v>
      </c>
      <c r="E15" s="18"/>
      <c r="F15" s="31" t="s">
        <v>85</v>
      </c>
      <c r="G15" s="33">
        <v>-0.55000000000000004</v>
      </c>
      <c r="H15"/>
      <c r="I15" s="1539"/>
      <c r="J15"/>
      <c r="K15"/>
      <c r="R15" s="581" t="s">
        <v>200</v>
      </c>
      <c r="S15" s="432" t="s">
        <v>289</v>
      </c>
      <c r="T15" s="436"/>
    </row>
    <row r="16" spans="3:20" ht="15" customHeight="1">
      <c r="C16" s="113">
        <f>margins!AH11</f>
        <v>11.375</v>
      </c>
      <c r="D16" s="114">
        <v>109.9</v>
      </c>
      <c r="E16" s="18"/>
      <c r="F16" s="31" t="s">
        <v>86</v>
      </c>
      <c r="G16" s="33">
        <v>-0.65</v>
      </c>
      <c r="I16" s="1538"/>
      <c r="J16"/>
      <c r="K16"/>
      <c r="R16" s="581" t="s">
        <v>198</v>
      </c>
      <c r="S16" s="432" t="s">
        <v>280</v>
      </c>
      <c r="T16" s="436">
        <f>IF(S16="Choose a Selection",0,(INDEX($H$21:$P$76,MATCH(S16,$G$21:$G$76,0),MATCH($S$14,$H$20:$P$20,0),1)))</f>
        <v>0</v>
      </c>
    </row>
    <row r="17" spans="3:20" ht="15" customHeight="1">
      <c r="C17" s="113">
        <f>margins!AH12</f>
        <v>11.25</v>
      </c>
      <c r="D17" s="114">
        <v>109.77500000000001</v>
      </c>
      <c r="E17" s="18"/>
      <c r="F17" s="516" t="s">
        <v>299</v>
      </c>
      <c r="G17" s="32"/>
      <c r="I17" s="1539"/>
      <c r="J17"/>
      <c r="K17"/>
      <c r="R17" s="581" t="s">
        <v>4</v>
      </c>
      <c r="S17" s="432" t="s">
        <v>191</v>
      </c>
      <c r="T17" s="436">
        <f>IF(S17="Full Doc",INDEX($H$21:$P$28,MATCH(S15,G21:G28,0),MATCH(S14,$H$20:$P$20,0),1),0)</f>
        <v>0</v>
      </c>
    </row>
    <row r="18" spans="3:20" ht="15" customHeight="1">
      <c r="C18" s="113">
        <f>margins!AH13</f>
        <v>11.125</v>
      </c>
      <c r="D18" s="114">
        <v>109.65</v>
      </c>
      <c r="E18" s="18"/>
      <c r="I18" s="1541"/>
      <c r="J18" s="520"/>
      <c r="K18" s="520"/>
      <c r="L18" s="520"/>
      <c r="M18" s="520"/>
      <c r="R18" s="581" t="s">
        <v>517</v>
      </c>
      <c r="S18" s="432" t="s">
        <v>191</v>
      </c>
      <c r="T18" s="436">
        <f>IF(S18="Choose a Selection",0,(INDEX($H$29:$P$36,MATCH($S$15,G29:G36,0),MATCH($S$14,$H$20:$P$20,0),1)))</f>
        <v>0</v>
      </c>
    </row>
    <row r="19" spans="3:20" ht="15" customHeight="1">
      <c r="C19" s="113">
        <f>margins!AH14</f>
        <v>11</v>
      </c>
      <c r="D19" s="114">
        <v>109.52500000000001</v>
      </c>
      <c r="E19" s="18"/>
      <c r="F19" s="1879" t="s">
        <v>216</v>
      </c>
      <c r="G19" s="1880"/>
      <c r="H19" s="1882" t="s">
        <v>298</v>
      </c>
      <c r="I19" s="1916"/>
      <c r="J19" s="1916"/>
      <c r="K19" s="1916"/>
      <c r="L19" s="1916"/>
      <c r="M19" s="1916"/>
      <c r="N19" s="1882"/>
      <c r="O19" s="1882"/>
      <c r="P19" s="1883"/>
      <c r="R19" s="581" t="s">
        <v>518</v>
      </c>
      <c r="S19" s="432" t="s">
        <v>191</v>
      </c>
      <c r="T19" s="436">
        <f>IF(S19="Choose a Selection",0,(INDEX($H$45:$P$47,MATCH(S19,G45:G47,0),MATCH($S$14,$H$20:$P$20,0),1)))</f>
        <v>0</v>
      </c>
    </row>
    <row r="20" spans="3:20" ht="15" customHeight="1">
      <c r="C20" s="113">
        <f>margins!AH15</f>
        <v>10.875</v>
      </c>
      <c r="D20" s="114">
        <v>109.27500000000001</v>
      </c>
      <c r="E20" s="18"/>
      <c r="F20" s="92"/>
      <c r="G20" s="93"/>
      <c r="H20" s="93" t="s">
        <v>15</v>
      </c>
      <c r="I20" s="93" t="s">
        <v>16</v>
      </c>
      <c r="J20" s="93" t="s">
        <v>17</v>
      </c>
      <c r="K20" s="93" t="s">
        <v>18</v>
      </c>
      <c r="L20" s="93" t="s">
        <v>19</v>
      </c>
      <c r="M20" s="93" t="s">
        <v>20</v>
      </c>
      <c r="N20" s="28" t="s">
        <v>21</v>
      </c>
      <c r="O20" s="93" t="s">
        <v>22</v>
      </c>
      <c r="P20" s="28" t="s">
        <v>23</v>
      </c>
      <c r="R20" s="1610" t="s">
        <v>768</v>
      </c>
      <c r="S20" s="432" t="s">
        <v>191</v>
      </c>
      <c r="T20" s="436">
        <f>IF(S20="Choose a Selection",0,(INDEX($H$37:$P$44,MATCH($S$15,G37:G44,0),MATCH($S$14,$H$20:$P$20,0),1)))</f>
        <v>0</v>
      </c>
    </row>
    <row r="21" spans="3:20" ht="15" customHeight="1">
      <c r="C21" s="113">
        <f>margins!AH16</f>
        <v>10.75</v>
      </c>
      <c r="D21" s="114">
        <v>109.02500000000001</v>
      </c>
      <c r="E21" s="18"/>
      <c r="F21" s="514" t="s">
        <v>4</v>
      </c>
      <c r="G21" s="509" t="s">
        <v>295</v>
      </c>
      <c r="H21" s="490">
        <v>2.875</v>
      </c>
      <c r="I21" s="480">
        <v>2.875</v>
      </c>
      <c r="J21" s="508">
        <v>2.875</v>
      </c>
      <c r="K21" s="508">
        <v>2.375</v>
      </c>
      <c r="L21" s="508">
        <v>2.125</v>
      </c>
      <c r="M21" s="508">
        <v>1.25</v>
      </c>
      <c r="N21" s="508">
        <v>0</v>
      </c>
      <c r="O21" s="508">
        <v>-4.25</v>
      </c>
      <c r="P21" s="507">
        <v>-6.125</v>
      </c>
      <c r="R21" s="581" t="s">
        <v>279</v>
      </c>
      <c r="S21" s="432" t="s">
        <v>191</v>
      </c>
      <c r="T21" s="436">
        <f>IF(S21="Choose a Selection",0,(INDEX($H$21:$P$77,MATCH(S21,$G$21:$G$77,0),MATCH($S$14,$H$20:$P$20,0),1)))</f>
        <v>0</v>
      </c>
    </row>
    <row r="22" spans="3:20" ht="15" customHeight="1">
      <c r="C22" s="113">
        <f>margins!AH17</f>
        <v>10.625</v>
      </c>
      <c r="D22" s="114">
        <v>108.77500000000001</v>
      </c>
      <c r="E22" s="18"/>
      <c r="F22" s="513" t="s">
        <v>297</v>
      </c>
      <c r="G22" s="506" t="s">
        <v>294</v>
      </c>
      <c r="H22" s="488">
        <v>2.875</v>
      </c>
      <c r="I22" s="487">
        <v>2.875</v>
      </c>
      <c r="J22" s="501">
        <v>2.875</v>
      </c>
      <c r="K22" s="501">
        <v>2.375</v>
      </c>
      <c r="L22" s="501">
        <v>2.125</v>
      </c>
      <c r="M22" s="501">
        <v>1.125</v>
      </c>
      <c r="N22" s="501">
        <v>-0.125</v>
      </c>
      <c r="O22" s="501">
        <v>-4.5</v>
      </c>
      <c r="P22" s="505">
        <v>-6.375</v>
      </c>
      <c r="R22" s="581" t="s">
        <v>45</v>
      </c>
      <c r="S22" s="432" t="s">
        <v>191</v>
      </c>
      <c r="T22" s="436">
        <f>IF(S22="Choose a Selection",0,(INDEX($H$21:$P$77,MATCH(S22,$G$21:$G$77,0),MATCH($S$14,$H$20:$P$20,0),1)))</f>
        <v>0</v>
      </c>
    </row>
    <row r="23" spans="3:20" ht="15" customHeight="1">
      <c r="C23" s="113">
        <f>margins!AH18</f>
        <v>10.5</v>
      </c>
      <c r="D23" s="114">
        <v>108.52500000000001</v>
      </c>
      <c r="E23" s="18"/>
      <c r="F23" s="515"/>
      <c r="G23" s="503" t="s">
        <v>293</v>
      </c>
      <c r="H23" s="502">
        <v>2.375</v>
      </c>
      <c r="I23" s="501">
        <v>2.375</v>
      </c>
      <c r="J23" s="501">
        <v>2.375</v>
      </c>
      <c r="K23" s="501">
        <v>1.875</v>
      </c>
      <c r="L23" s="501">
        <v>1.625</v>
      </c>
      <c r="M23" s="501">
        <v>0.5</v>
      </c>
      <c r="N23" s="501">
        <v>-0.875</v>
      </c>
      <c r="O23" s="501">
        <v>-5.125</v>
      </c>
      <c r="P23" s="505">
        <v>-7.375</v>
      </c>
      <c r="R23" s="581" t="s">
        <v>56</v>
      </c>
      <c r="S23" s="432" t="s">
        <v>191</v>
      </c>
      <c r="T23" s="436">
        <f>IF(S23="Choose a Selection",0,(INDEX($H$21:$P$77,MATCH(S23,$G$21:$G$77,0),MATCH($S$14,$H$20:$P$20,0),1)))</f>
        <v>0</v>
      </c>
    </row>
    <row r="24" spans="3:20" ht="15" customHeight="1">
      <c r="C24" s="113">
        <f>margins!AH19</f>
        <v>10.375</v>
      </c>
      <c r="D24" s="114">
        <v>108.27500000000001</v>
      </c>
      <c r="E24" s="18"/>
      <c r="F24" s="514"/>
      <c r="G24" s="503" t="s">
        <v>292</v>
      </c>
      <c r="H24" s="502">
        <v>1.75</v>
      </c>
      <c r="I24" s="501">
        <v>1.75</v>
      </c>
      <c r="J24" s="501">
        <v>1.375</v>
      </c>
      <c r="K24" s="501">
        <v>1.125</v>
      </c>
      <c r="L24" s="501">
        <v>0.875</v>
      </c>
      <c r="M24" s="501">
        <v>-0.375</v>
      </c>
      <c r="N24" s="501">
        <v>-2.25</v>
      </c>
      <c r="O24" s="501">
        <v>-6.5</v>
      </c>
      <c r="P24" s="505">
        <v>-9</v>
      </c>
      <c r="R24" s="581" t="s">
        <v>60</v>
      </c>
      <c r="S24" s="432" t="s">
        <v>268</v>
      </c>
      <c r="T24" s="436">
        <f>IF(S24="Choose a Selection",0,(INDEX($H$21:$P$77,MATCH(S24,$G$21:$G$77,0),MATCH($S$14,$H$20:$P$20,0),1)))</f>
        <v>0</v>
      </c>
    </row>
    <row r="25" spans="3:20" ht="15" customHeight="1">
      <c r="C25" s="113">
        <f>margins!AH20</f>
        <v>10.25</v>
      </c>
      <c r="D25" s="114">
        <v>108.02500000000001</v>
      </c>
      <c r="E25" s="18"/>
      <c r="F25" s="513"/>
      <c r="G25" s="503" t="s">
        <v>291</v>
      </c>
      <c r="H25" s="502">
        <v>0.875</v>
      </c>
      <c r="I25" s="501">
        <v>0.875</v>
      </c>
      <c r="J25" s="501">
        <v>0.375</v>
      </c>
      <c r="K25" s="501">
        <v>0</v>
      </c>
      <c r="L25" s="501">
        <v>-0.25</v>
      </c>
      <c r="M25" s="501">
        <v>-1.25</v>
      </c>
      <c r="N25" s="501">
        <v>-3.5</v>
      </c>
      <c r="O25" s="501">
        <v>-7.875</v>
      </c>
      <c r="P25" s="505">
        <v>-10</v>
      </c>
      <c r="R25" s="581" t="s">
        <v>62</v>
      </c>
      <c r="S25" s="432" t="s">
        <v>266</v>
      </c>
      <c r="T25" s="436">
        <f>IF(S25="Choose a Selection",0,(INDEX($H$21:$P$77,MATCH(S25,$G$21:$G$77,0),MATCH($S$14,$H$20:$P$20,0),1)))</f>
        <v>0</v>
      </c>
    </row>
    <row r="26" spans="3:20" ht="15" customHeight="1">
      <c r="C26" s="113">
        <f>margins!AH21</f>
        <v>10.125</v>
      </c>
      <c r="D26" s="114">
        <v>107.77500000000001</v>
      </c>
      <c r="E26" s="18"/>
      <c r="F26" s="512"/>
      <c r="G26" s="503" t="s">
        <v>290</v>
      </c>
      <c r="H26" s="502">
        <v>-0.375</v>
      </c>
      <c r="I26" s="501">
        <v>-0.375</v>
      </c>
      <c r="J26" s="501">
        <v>-1</v>
      </c>
      <c r="K26" s="501">
        <v>-1.5</v>
      </c>
      <c r="L26" s="501">
        <v>-2</v>
      </c>
      <c r="M26" s="501">
        <v>-2.75</v>
      </c>
      <c r="N26" s="501">
        <v>-5.125</v>
      </c>
      <c r="O26" s="501">
        <v>-9.25</v>
      </c>
      <c r="P26" s="505">
        <v>-11.5</v>
      </c>
      <c r="R26" s="581" t="s">
        <v>205</v>
      </c>
      <c r="S26" s="432" t="s">
        <v>191</v>
      </c>
      <c r="T26" s="436">
        <f>IF(S26&lt;&gt;30,0,G10)</f>
        <v>0</v>
      </c>
    </row>
    <row r="27" spans="3:20" ht="15" customHeight="1">
      <c r="C27" s="113">
        <f>margins!AH22</f>
        <v>10</v>
      </c>
      <c r="D27" s="114">
        <v>107.4</v>
      </c>
      <c r="E27" s="18"/>
      <c r="F27" s="512"/>
      <c r="G27" s="503" t="s">
        <v>289</v>
      </c>
      <c r="H27" s="502">
        <v>-3.125</v>
      </c>
      <c r="I27" s="501">
        <v>-3.125</v>
      </c>
      <c r="J27" s="501">
        <v>-3.875</v>
      </c>
      <c r="K27" s="501">
        <v>-4.25</v>
      </c>
      <c r="L27" s="501">
        <v>-4.875</v>
      </c>
      <c r="M27" s="501">
        <v>-5.875</v>
      </c>
      <c r="N27" s="501">
        <v>-8.5</v>
      </c>
      <c r="O27" s="501">
        <v>-11.25</v>
      </c>
      <c r="P27" s="505" t="s">
        <v>14</v>
      </c>
      <c r="R27" s="1543" t="s">
        <v>669</v>
      </c>
      <c r="S27" s="432" t="s">
        <v>191</v>
      </c>
      <c r="T27" s="1544">
        <f>IF(S27="Loan Amount &gt;=100,000", 0.5, 0)</f>
        <v>0</v>
      </c>
    </row>
    <row r="28" spans="3:20" ht="15" customHeight="1" thickBot="1">
      <c r="C28" s="113">
        <f>margins!AH23</f>
        <v>9.875</v>
      </c>
      <c r="D28" s="114">
        <v>107.02500000000001</v>
      </c>
      <c r="E28" s="18"/>
      <c r="F28" s="512"/>
      <c r="G28" s="499" t="s">
        <v>288</v>
      </c>
      <c r="H28" s="498">
        <v>-4.375</v>
      </c>
      <c r="I28" s="497">
        <v>-4.5</v>
      </c>
      <c r="J28" s="497">
        <v>-5</v>
      </c>
      <c r="K28" s="497">
        <v>-5.625</v>
      </c>
      <c r="L28" s="497">
        <v>-6.125</v>
      </c>
      <c r="M28" s="497">
        <v>-7.375</v>
      </c>
      <c r="N28" s="497">
        <v>-10.375</v>
      </c>
      <c r="O28" s="497" t="s">
        <v>14</v>
      </c>
      <c r="P28" s="511" t="s">
        <v>14</v>
      </c>
      <c r="R28" s="583" t="s">
        <v>206</v>
      </c>
      <c r="S28" s="433"/>
      <c r="T28" s="437">
        <f>SUM(T15:T27)</f>
        <v>0</v>
      </c>
    </row>
    <row r="29" spans="3:20" ht="15" customHeight="1" thickBot="1">
      <c r="C29" s="113">
        <f>margins!AH24</f>
        <v>9.75</v>
      </c>
      <c r="D29" s="114">
        <v>106.65</v>
      </c>
      <c r="E29" s="18"/>
      <c r="F29" s="510" t="s">
        <v>296</v>
      </c>
      <c r="G29" s="509" t="s">
        <v>295</v>
      </c>
      <c r="H29" s="490">
        <v>1</v>
      </c>
      <c r="I29" s="480">
        <v>1</v>
      </c>
      <c r="J29" s="508">
        <v>0.75</v>
      </c>
      <c r="K29" s="508">
        <v>0.375</v>
      </c>
      <c r="L29" s="508">
        <v>0.125</v>
      </c>
      <c r="M29" s="508">
        <v>-0.875</v>
      </c>
      <c r="N29" s="508">
        <v>-1.75</v>
      </c>
      <c r="O29" s="508">
        <v>-5.75</v>
      </c>
      <c r="P29" s="507">
        <v>-7.625</v>
      </c>
      <c r="R29" s="420"/>
      <c r="S29" s="421"/>
      <c r="T29" s="430"/>
    </row>
    <row r="30" spans="3:20" ht="15" customHeight="1" thickBot="1">
      <c r="C30" s="113">
        <f>margins!AH25</f>
        <v>9.625</v>
      </c>
      <c r="D30" s="114">
        <v>106.27500000000001</v>
      </c>
      <c r="E30" s="18"/>
      <c r="F30" s="575">
        <v>1099</v>
      </c>
      <c r="G30" s="506" t="s">
        <v>294</v>
      </c>
      <c r="H30" s="488">
        <v>1</v>
      </c>
      <c r="I30" s="487">
        <v>1</v>
      </c>
      <c r="J30" s="501">
        <v>0.75</v>
      </c>
      <c r="K30" s="501">
        <v>0.375</v>
      </c>
      <c r="L30" s="501">
        <v>0.125</v>
      </c>
      <c r="M30" s="501">
        <v>-1</v>
      </c>
      <c r="N30" s="501">
        <v>-1.875</v>
      </c>
      <c r="O30" s="501">
        <v>-6</v>
      </c>
      <c r="P30" s="505">
        <v>-7.875</v>
      </c>
      <c r="R30" s="422" t="s">
        <v>207</v>
      </c>
      <c r="S30" s="423"/>
      <c r="T30" s="584">
        <f>IF(ISNUMBER(MATCH("NA", T16:T27, 0)), "NA", MIN(G8,(T13+T28)))</f>
        <v>100</v>
      </c>
    </row>
    <row r="31" spans="3:20" ht="15" customHeight="1" thickBot="1">
      <c r="C31" s="113">
        <f>margins!AH26</f>
        <v>9.5</v>
      </c>
      <c r="D31" s="114">
        <v>105.9</v>
      </c>
      <c r="E31" s="18"/>
      <c r="F31" s="504"/>
      <c r="G31" s="503" t="s">
        <v>293</v>
      </c>
      <c r="H31" s="502">
        <v>0.5</v>
      </c>
      <c r="I31" s="501">
        <v>0.5</v>
      </c>
      <c r="J31" s="501">
        <v>0.25</v>
      </c>
      <c r="K31" s="501">
        <v>-0.125</v>
      </c>
      <c r="L31" s="501">
        <v>-0.375</v>
      </c>
      <c r="M31" s="501">
        <v>-1.625</v>
      </c>
      <c r="N31" s="501">
        <v>-2.625</v>
      </c>
      <c r="O31" s="501">
        <v>-6.625</v>
      </c>
      <c r="P31" s="505">
        <v>-8.875</v>
      </c>
      <c r="R31" s="417"/>
      <c r="S31" s="417"/>
      <c r="T31" s="417"/>
    </row>
    <row r="32" spans="3:20" ht="15" customHeight="1" thickBot="1">
      <c r="C32" s="113">
        <f>margins!AH27</f>
        <v>9.375</v>
      </c>
      <c r="D32" s="114">
        <v>105.52500000000001</v>
      </c>
      <c r="E32" s="18"/>
      <c r="F32" s="504"/>
      <c r="G32" s="503" t="s">
        <v>292</v>
      </c>
      <c r="H32" s="502">
        <v>0.125</v>
      </c>
      <c r="I32" s="501">
        <v>0.125</v>
      </c>
      <c r="J32" s="501">
        <v>-0.25</v>
      </c>
      <c r="K32" s="501">
        <v>-0.625</v>
      </c>
      <c r="L32" s="501">
        <v>-0.875</v>
      </c>
      <c r="M32" s="501">
        <v>-2.25</v>
      </c>
      <c r="N32" s="501">
        <v>-3.875</v>
      </c>
      <c r="O32" s="501">
        <v>-8.125</v>
      </c>
      <c r="P32" s="505">
        <v>-10.75</v>
      </c>
      <c r="R32" s="746" t="s">
        <v>447</v>
      </c>
      <c r="S32" s="747"/>
      <c r="T32" s="748"/>
    </row>
    <row r="33" spans="2:16" ht="15" customHeight="1">
      <c r="C33" s="113">
        <f>margins!AH28</f>
        <v>9.25</v>
      </c>
      <c r="D33" s="114">
        <v>105.15</v>
      </c>
      <c r="E33" s="18"/>
      <c r="F33" s="504"/>
      <c r="G33" s="503" t="s">
        <v>291</v>
      </c>
      <c r="H33" s="502">
        <v>-0.5</v>
      </c>
      <c r="I33" s="501">
        <v>-0.5</v>
      </c>
      <c r="J33" s="501">
        <v>-1</v>
      </c>
      <c r="K33" s="501">
        <v>-1.5</v>
      </c>
      <c r="L33" s="501">
        <v>-1.75</v>
      </c>
      <c r="M33" s="501">
        <v>-2.875</v>
      </c>
      <c r="N33" s="501">
        <v>-5</v>
      </c>
      <c r="O33" s="501">
        <v>-9.5</v>
      </c>
      <c r="P33" s="505">
        <v>-11.75</v>
      </c>
    </row>
    <row r="34" spans="2:16">
      <c r="C34" s="113">
        <f>margins!AH29</f>
        <v>9.125</v>
      </c>
      <c r="D34" s="114">
        <v>104.77500000000001</v>
      </c>
      <c r="E34" s="18"/>
      <c r="F34" s="504"/>
      <c r="G34" s="503" t="s">
        <v>290</v>
      </c>
      <c r="H34" s="502">
        <v>-1.625</v>
      </c>
      <c r="I34" s="501">
        <v>-1.625</v>
      </c>
      <c r="J34" s="501">
        <v>-2.25</v>
      </c>
      <c r="K34" s="501">
        <v>-2.875</v>
      </c>
      <c r="L34" s="501">
        <v>-3.375</v>
      </c>
      <c r="M34" s="501">
        <v>-4.25</v>
      </c>
      <c r="N34" s="501">
        <v>-6.75</v>
      </c>
      <c r="O34" s="501">
        <v>-11.25</v>
      </c>
      <c r="P34" s="505" t="s">
        <v>14</v>
      </c>
    </row>
    <row r="35" spans="2:16">
      <c r="C35" s="113">
        <f>margins!AH30</f>
        <v>9</v>
      </c>
      <c r="D35" s="114">
        <v>104.4</v>
      </c>
      <c r="E35" s="18"/>
      <c r="F35" s="504"/>
      <c r="G35" s="503" t="s">
        <v>289</v>
      </c>
      <c r="H35" s="502">
        <v>-4.125</v>
      </c>
      <c r="I35" s="501">
        <v>-4.125</v>
      </c>
      <c r="J35" s="501">
        <v>-4.875</v>
      </c>
      <c r="K35" s="501">
        <v>-5.375</v>
      </c>
      <c r="L35" s="501">
        <v>-6</v>
      </c>
      <c r="M35" s="501">
        <v>-7.125</v>
      </c>
      <c r="N35" s="501">
        <v>-9.875</v>
      </c>
      <c r="O35" s="501" t="s">
        <v>14</v>
      </c>
      <c r="P35" s="505" t="s">
        <v>14</v>
      </c>
    </row>
    <row r="36" spans="2:16">
      <c r="C36" s="113">
        <f>margins!AH31</f>
        <v>8.875</v>
      </c>
      <c r="D36" s="114">
        <v>104.02500000000001</v>
      </c>
      <c r="E36" s="18"/>
      <c r="F36" s="500"/>
      <c r="G36" s="499" t="s">
        <v>288</v>
      </c>
      <c r="H36" s="498">
        <v>-5.875</v>
      </c>
      <c r="I36" s="497">
        <v>-6</v>
      </c>
      <c r="J36" s="497">
        <v>-6.5</v>
      </c>
      <c r="K36" s="497">
        <v>-7.25</v>
      </c>
      <c r="L36" s="497">
        <v>-7.75</v>
      </c>
      <c r="M36" s="497">
        <v>-9.125</v>
      </c>
      <c r="N36" s="497" t="s">
        <v>14</v>
      </c>
      <c r="O36" s="497" t="s">
        <v>14</v>
      </c>
      <c r="P36" s="511" t="s">
        <v>14</v>
      </c>
    </row>
    <row r="37" spans="2:16">
      <c r="C37" s="113">
        <f>margins!AH32</f>
        <v>8.75</v>
      </c>
      <c r="D37" s="114">
        <v>103.65</v>
      </c>
      <c r="F37" s="510" t="s">
        <v>514</v>
      </c>
      <c r="G37" s="509" t="s">
        <v>295</v>
      </c>
      <c r="H37" s="490">
        <v>-0.5</v>
      </c>
      <c r="I37" s="480">
        <v>-0.5</v>
      </c>
      <c r="J37" s="508">
        <v>-0.75</v>
      </c>
      <c r="K37" s="508">
        <v>-1.375</v>
      </c>
      <c r="L37" s="508">
        <v>-1.625</v>
      </c>
      <c r="M37" s="508">
        <v>-2.75</v>
      </c>
      <c r="N37" s="508">
        <v>-3.75</v>
      </c>
      <c r="O37" s="508">
        <v>-7.875</v>
      </c>
      <c r="P37" s="507" t="s">
        <v>14</v>
      </c>
    </row>
    <row r="38" spans="2:16">
      <c r="C38" s="113">
        <f>margins!AH33</f>
        <v>8.625</v>
      </c>
      <c r="D38" s="114">
        <v>103.15</v>
      </c>
      <c r="F38" s="575" t="s">
        <v>88</v>
      </c>
      <c r="G38" s="506" t="s">
        <v>294</v>
      </c>
      <c r="H38" s="488">
        <v>-0.5</v>
      </c>
      <c r="I38" s="487">
        <v>-0.5</v>
      </c>
      <c r="J38" s="501">
        <v>-0.75</v>
      </c>
      <c r="K38" s="501">
        <v>-1.375</v>
      </c>
      <c r="L38" s="501">
        <v>-1.625</v>
      </c>
      <c r="M38" s="501">
        <v>-2.875</v>
      </c>
      <c r="N38" s="501">
        <v>-4</v>
      </c>
      <c r="O38" s="501">
        <v>-8.125</v>
      </c>
      <c r="P38" s="505" t="s">
        <v>14</v>
      </c>
    </row>
    <row r="39" spans="2:16">
      <c r="C39" s="113">
        <f>margins!AH34</f>
        <v>8.5</v>
      </c>
      <c r="D39" s="114">
        <v>102.65</v>
      </c>
      <c r="F39" s="504" t="s">
        <v>766</v>
      </c>
      <c r="G39" s="503" t="s">
        <v>293</v>
      </c>
      <c r="H39" s="502">
        <v>-1</v>
      </c>
      <c r="I39" s="501">
        <v>-1</v>
      </c>
      <c r="J39" s="501">
        <v>-1.25</v>
      </c>
      <c r="K39" s="501">
        <v>-1.875</v>
      </c>
      <c r="L39" s="501">
        <v>-2.125</v>
      </c>
      <c r="M39" s="501">
        <v>-3.5</v>
      </c>
      <c r="N39" s="501">
        <v>-4.75</v>
      </c>
      <c r="O39" s="501">
        <v>-8.75</v>
      </c>
      <c r="P39" s="505" t="s">
        <v>14</v>
      </c>
    </row>
    <row r="40" spans="2:16">
      <c r="C40" s="113">
        <f>margins!AH35</f>
        <v>8.375</v>
      </c>
      <c r="D40" s="114">
        <v>102.15</v>
      </c>
      <c r="F40" s="504"/>
      <c r="G40" s="503" t="s">
        <v>292</v>
      </c>
      <c r="H40" s="502">
        <v>-1.375</v>
      </c>
      <c r="I40" s="501">
        <v>-1.375</v>
      </c>
      <c r="J40" s="501">
        <v>-1.75</v>
      </c>
      <c r="K40" s="501">
        <v>-2.375</v>
      </c>
      <c r="L40" s="501">
        <v>-2.625</v>
      </c>
      <c r="M40" s="501">
        <v>-4.125</v>
      </c>
      <c r="N40" s="501">
        <v>-6</v>
      </c>
      <c r="O40" s="501">
        <v>-10.25</v>
      </c>
      <c r="P40" s="505" t="s">
        <v>14</v>
      </c>
    </row>
    <row r="41" spans="2:16" ht="15" customHeight="1">
      <c r="C41" s="113">
        <f>margins!AH36</f>
        <v>8.25</v>
      </c>
      <c r="D41" s="114">
        <v>101.52500000000001</v>
      </c>
      <c r="F41" s="504"/>
      <c r="G41" s="503" t="s">
        <v>291</v>
      </c>
      <c r="H41" s="502">
        <v>-2.125</v>
      </c>
      <c r="I41" s="501">
        <v>-2.125</v>
      </c>
      <c r="J41" s="501">
        <v>-2.625</v>
      </c>
      <c r="K41" s="501">
        <v>-3.375</v>
      </c>
      <c r="L41" s="501">
        <v>-3.625</v>
      </c>
      <c r="M41" s="501">
        <v>-4.875</v>
      </c>
      <c r="N41" s="501">
        <v>-7.25</v>
      </c>
      <c r="O41" s="501">
        <v>-11.875</v>
      </c>
      <c r="P41" s="505" t="s">
        <v>14</v>
      </c>
    </row>
    <row r="42" spans="2:16">
      <c r="C42" s="113">
        <f>margins!AH37</f>
        <v>8.125</v>
      </c>
      <c r="D42" s="114">
        <v>100.9</v>
      </c>
      <c r="F42" s="504"/>
      <c r="G42" s="503" t="s">
        <v>290</v>
      </c>
      <c r="H42" s="502">
        <v>-3.375</v>
      </c>
      <c r="I42" s="501">
        <v>-3.375</v>
      </c>
      <c r="J42" s="501">
        <v>-4</v>
      </c>
      <c r="K42" s="501">
        <v>-4.75</v>
      </c>
      <c r="L42" s="501">
        <v>-5.25</v>
      </c>
      <c r="M42" s="501">
        <v>-6.25</v>
      </c>
      <c r="N42" s="501">
        <v>-9</v>
      </c>
      <c r="O42" s="501" t="s">
        <v>14</v>
      </c>
      <c r="P42" s="505" t="s">
        <v>14</v>
      </c>
    </row>
    <row r="43" spans="2:16">
      <c r="C43" s="113">
        <f>margins!AH38</f>
        <v>8</v>
      </c>
      <c r="D43" s="114">
        <v>100.27500000000001</v>
      </c>
      <c r="F43" s="504"/>
      <c r="G43" s="503" t="s">
        <v>289</v>
      </c>
      <c r="H43" s="502">
        <v>-5.875</v>
      </c>
      <c r="I43" s="501">
        <v>-5.875</v>
      </c>
      <c r="J43" s="501">
        <v>-6.625</v>
      </c>
      <c r="K43" s="501">
        <v>-7.25</v>
      </c>
      <c r="L43" s="501">
        <v>-7.875</v>
      </c>
      <c r="M43" s="501">
        <v>-9.125</v>
      </c>
      <c r="N43" s="501" t="s">
        <v>14</v>
      </c>
      <c r="O43" s="501" t="s">
        <v>14</v>
      </c>
      <c r="P43" s="505" t="s">
        <v>14</v>
      </c>
    </row>
    <row r="44" spans="2:16" ht="15" customHeight="1">
      <c r="C44" s="113">
        <f>margins!AH39</f>
        <v>7.875</v>
      </c>
      <c r="D44" s="114">
        <v>99.65</v>
      </c>
      <c r="F44" s="500"/>
      <c r="G44" s="499" t="s">
        <v>288</v>
      </c>
      <c r="H44" s="498">
        <v>-7.875</v>
      </c>
      <c r="I44" s="497">
        <v>-8</v>
      </c>
      <c r="J44" s="497">
        <v>-8.5</v>
      </c>
      <c r="K44" s="497">
        <v>-9.5</v>
      </c>
      <c r="L44" s="497">
        <v>-10</v>
      </c>
      <c r="M44" s="497" t="s">
        <v>14</v>
      </c>
      <c r="N44" s="497" t="s">
        <v>14</v>
      </c>
      <c r="O44" s="497" t="s">
        <v>14</v>
      </c>
      <c r="P44" s="511" t="s">
        <v>14</v>
      </c>
    </row>
    <row r="45" spans="2:16">
      <c r="B45" s="22"/>
      <c r="C45" s="113">
        <f>margins!AH40</f>
        <v>7.75</v>
      </c>
      <c r="D45" s="114">
        <v>98.9</v>
      </c>
      <c r="F45" s="496" t="s">
        <v>287</v>
      </c>
      <c r="G45" s="486" t="s">
        <v>286</v>
      </c>
      <c r="H45" s="495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619">
        <v>0</v>
      </c>
    </row>
    <row r="46" spans="2:16" ht="15" customHeight="1">
      <c r="C46" s="113">
        <f>margins!AH41</f>
        <v>7.625</v>
      </c>
      <c r="D46" s="114">
        <v>98.15</v>
      </c>
      <c r="F46" s="491"/>
      <c r="G46" s="489" t="s">
        <v>285</v>
      </c>
      <c r="H46" s="493">
        <v>0</v>
      </c>
      <c r="I46" s="492">
        <v>0</v>
      </c>
      <c r="J46" s="492">
        <v>0</v>
      </c>
      <c r="K46" s="492">
        <v>0</v>
      </c>
      <c r="L46" s="492">
        <v>0</v>
      </c>
      <c r="M46" s="492">
        <v>0</v>
      </c>
      <c r="N46" s="492">
        <v>0</v>
      </c>
      <c r="O46" s="492">
        <v>0</v>
      </c>
      <c r="P46" s="620">
        <v>0</v>
      </c>
    </row>
    <row r="47" spans="2:16">
      <c r="C47" s="113">
        <f>margins!AH42</f>
        <v>7.5</v>
      </c>
      <c r="D47" s="114">
        <v>97.4</v>
      </c>
      <c r="F47" s="491"/>
      <c r="G47" s="615" t="s">
        <v>284</v>
      </c>
      <c r="H47" s="616">
        <v>0</v>
      </c>
      <c r="I47" s="617">
        <v>0</v>
      </c>
      <c r="J47" s="617">
        <v>0</v>
      </c>
      <c r="K47" s="617">
        <v>0</v>
      </c>
      <c r="L47" s="617">
        <v>0</v>
      </c>
      <c r="M47" s="617">
        <v>0</v>
      </c>
      <c r="N47" s="617">
        <v>0</v>
      </c>
      <c r="O47" s="617">
        <v>0</v>
      </c>
      <c r="P47" s="621">
        <v>0</v>
      </c>
    </row>
    <row r="48" spans="2:16">
      <c r="C48" s="113">
        <f>margins!AH43</f>
        <v>7.375</v>
      </c>
      <c r="D48" s="114">
        <v>96.65</v>
      </c>
      <c r="F48" s="468" t="s">
        <v>198</v>
      </c>
      <c r="G48" s="556" t="s">
        <v>283</v>
      </c>
      <c r="H48" s="490">
        <v>0.5</v>
      </c>
      <c r="I48" s="480">
        <v>0.5</v>
      </c>
      <c r="J48" s="480">
        <v>0.5</v>
      </c>
      <c r="K48" s="480">
        <v>0.5</v>
      </c>
      <c r="L48" s="480">
        <v>0.5</v>
      </c>
      <c r="M48" s="480">
        <v>0.5</v>
      </c>
      <c r="N48" s="480">
        <v>0.5</v>
      </c>
      <c r="O48" s="480">
        <v>0.5</v>
      </c>
      <c r="P48" s="622">
        <v>0.5</v>
      </c>
    </row>
    <row r="49" spans="3:16">
      <c r="C49" s="36"/>
      <c r="D49" s="36"/>
      <c r="F49" s="463"/>
      <c r="G49" s="489" t="s">
        <v>282</v>
      </c>
      <c r="H49" s="488">
        <v>0.5</v>
      </c>
      <c r="I49" s="487">
        <v>0.5</v>
      </c>
      <c r="J49" s="487">
        <v>0.5</v>
      </c>
      <c r="K49" s="487">
        <v>0.5</v>
      </c>
      <c r="L49" s="487">
        <v>0.5</v>
      </c>
      <c r="M49" s="487">
        <v>0.5</v>
      </c>
      <c r="N49" s="487">
        <v>0.5</v>
      </c>
      <c r="O49" s="487">
        <v>0.5</v>
      </c>
      <c r="P49" s="623">
        <v>0.5</v>
      </c>
    </row>
    <row r="50" spans="3:16">
      <c r="C50" s="36"/>
      <c r="D50" s="36"/>
      <c r="F50" s="463"/>
      <c r="G50" s="489" t="s">
        <v>281</v>
      </c>
      <c r="H50" s="488">
        <v>0.5</v>
      </c>
      <c r="I50" s="487">
        <v>0.5</v>
      </c>
      <c r="J50" s="487">
        <v>0.5</v>
      </c>
      <c r="K50" s="487">
        <v>0.5</v>
      </c>
      <c r="L50" s="487">
        <v>0.5</v>
      </c>
      <c r="M50" s="487">
        <v>0.5</v>
      </c>
      <c r="N50" s="487">
        <v>0.5</v>
      </c>
      <c r="O50" s="487">
        <v>0.5</v>
      </c>
      <c r="P50" s="623">
        <v>0.5</v>
      </c>
    </row>
    <row r="51" spans="3:16">
      <c r="C51" s="36"/>
      <c r="D51" s="36"/>
      <c r="F51" s="463"/>
      <c r="G51" s="538" t="s">
        <v>280</v>
      </c>
      <c r="H51" s="618">
        <v>0</v>
      </c>
      <c r="I51" s="469">
        <v>0</v>
      </c>
      <c r="J51" s="469">
        <v>0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624">
        <v>0</v>
      </c>
    </row>
    <row r="52" spans="3:16">
      <c r="C52" s="36"/>
      <c r="D52" s="36"/>
      <c r="F52" s="468" t="s">
        <v>279</v>
      </c>
      <c r="G52" s="486" t="s">
        <v>426</v>
      </c>
      <c r="H52" s="466">
        <v>-0.25</v>
      </c>
      <c r="I52" s="465">
        <v>-0.25</v>
      </c>
      <c r="J52" s="465">
        <v>-0.25</v>
      </c>
      <c r="K52" s="465">
        <v>-0.25</v>
      </c>
      <c r="L52" s="465">
        <v>-0.25</v>
      </c>
      <c r="M52" s="465">
        <v>-0.25</v>
      </c>
      <c r="N52" s="465">
        <v>-0.25</v>
      </c>
      <c r="O52" s="465">
        <v>-0.25</v>
      </c>
      <c r="P52" s="625">
        <v>-0.25</v>
      </c>
    </row>
    <row r="53" spans="3:16">
      <c r="C53" s="36"/>
      <c r="D53" s="36"/>
      <c r="F53" s="463"/>
      <c r="G53" s="486" t="s">
        <v>278</v>
      </c>
      <c r="H53" s="461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59">
        <v>0</v>
      </c>
    </row>
    <row r="54" spans="3:16">
      <c r="C54" s="36"/>
      <c r="D54" s="36"/>
      <c r="F54" s="463"/>
      <c r="G54" s="486" t="s">
        <v>277</v>
      </c>
      <c r="H54" s="461">
        <v>0</v>
      </c>
      <c r="I54" s="460">
        <v>0</v>
      </c>
      <c r="J54" s="460">
        <v>0</v>
      </c>
      <c r="K54" s="460">
        <v>0</v>
      </c>
      <c r="L54" s="460">
        <v>0</v>
      </c>
      <c r="M54" s="460">
        <v>0</v>
      </c>
      <c r="N54" s="460">
        <v>0</v>
      </c>
      <c r="O54" s="460">
        <v>0</v>
      </c>
      <c r="P54" s="459">
        <v>0</v>
      </c>
    </row>
    <row r="55" spans="3:16">
      <c r="F55" s="463"/>
      <c r="G55" s="485" t="s">
        <v>276</v>
      </c>
      <c r="H55" s="461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0</v>
      </c>
      <c r="O55" s="460">
        <v>0</v>
      </c>
      <c r="P55" s="459">
        <v>0</v>
      </c>
    </row>
    <row r="56" spans="3:16">
      <c r="F56" s="463"/>
      <c r="G56" s="485" t="s">
        <v>275</v>
      </c>
      <c r="H56" s="461">
        <v>0</v>
      </c>
      <c r="I56" s="460">
        <v>0</v>
      </c>
      <c r="J56" s="460">
        <v>0</v>
      </c>
      <c r="K56" s="460">
        <v>0</v>
      </c>
      <c r="L56" s="460">
        <v>0</v>
      </c>
      <c r="M56" s="460">
        <v>0</v>
      </c>
      <c r="N56" s="460">
        <v>0</v>
      </c>
      <c r="O56" s="460">
        <v>0</v>
      </c>
      <c r="P56" s="459">
        <v>0</v>
      </c>
    </row>
    <row r="57" spans="3:16">
      <c r="F57" s="463"/>
      <c r="G57" s="484" t="s">
        <v>274</v>
      </c>
      <c r="H57" s="461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59">
        <v>0</v>
      </c>
    </row>
    <row r="58" spans="3:16">
      <c r="F58" s="463"/>
      <c r="G58" s="484" t="s">
        <v>273</v>
      </c>
      <c r="H58" s="461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59">
        <v>0</v>
      </c>
    </row>
    <row r="59" spans="3:16">
      <c r="F59" s="463"/>
      <c r="G59" s="484" t="s">
        <v>515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59">
        <v>0</v>
      </c>
    </row>
    <row r="60" spans="3:16">
      <c r="F60" s="463"/>
      <c r="G60" s="484" t="s">
        <v>668</v>
      </c>
      <c r="H60" s="461">
        <v>0</v>
      </c>
      <c r="I60" s="460">
        <v>0</v>
      </c>
      <c r="J60" s="460">
        <v>0</v>
      </c>
      <c r="K60" s="460">
        <v>0</v>
      </c>
      <c r="L60" s="460">
        <v>0</v>
      </c>
      <c r="M60" s="460">
        <v>0</v>
      </c>
      <c r="N60" s="460">
        <v>0</v>
      </c>
      <c r="O60" s="460">
        <v>0</v>
      </c>
      <c r="P60" s="459">
        <v>0</v>
      </c>
    </row>
    <row r="61" spans="3:16">
      <c r="F61" s="463"/>
      <c r="G61" s="484" t="s">
        <v>752</v>
      </c>
      <c r="H61" s="461">
        <v>-0.25</v>
      </c>
      <c r="I61" s="460">
        <v>-0.25</v>
      </c>
      <c r="J61" s="460">
        <v>-0.25</v>
      </c>
      <c r="K61" s="460">
        <v>-0.375</v>
      </c>
      <c r="L61" s="460">
        <v>-0.375</v>
      </c>
      <c r="M61" s="460">
        <v>-0.5</v>
      </c>
      <c r="N61" s="460">
        <v>0</v>
      </c>
      <c r="O61" s="460">
        <v>0</v>
      </c>
      <c r="P61" s="459">
        <v>0</v>
      </c>
    </row>
    <row r="62" spans="3:16">
      <c r="F62" s="475" t="s">
        <v>45</v>
      </c>
      <c r="G62" s="481" t="s">
        <v>272</v>
      </c>
      <c r="H62" s="473">
        <v>-0.25</v>
      </c>
      <c r="I62" s="472">
        <v>-0.25</v>
      </c>
      <c r="J62" s="472">
        <v>-0.25</v>
      </c>
      <c r="K62" s="472">
        <v>-0.375</v>
      </c>
      <c r="L62" s="480">
        <v>-0.375</v>
      </c>
      <c r="M62" s="480">
        <v>-0.375</v>
      </c>
      <c r="N62" s="480">
        <v>-0.5</v>
      </c>
      <c r="O62" s="480">
        <v>-0.75</v>
      </c>
      <c r="P62" s="622">
        <v>-0.75</v>
      </c>
    </row>
    <row r="63" spans="3:16">
      <c r="F63" s="471"/>
      <c r="G63" s="479" t="s">
        <v>271</v>
      </c>
      <c r="H63" s="457">
        <v>-0.75</v>
      </c>
      <c r="I63" s="456">
        <v>-0.75</v>
      </c>
      <c r="J63" s="456">
        <v>-0.75</v>
      </c>
      <c r="K63" s="456">
        <v>-0.75</v>
      </c>
      <c r="L63" s="469">
        <v>-0.75</v>
      </c>
      <c r="M63" s="469">
        <v>-0.75</v>
      </c>
      <c r="N63" s="469">
        <v>-1</v>
      </c>
      <c r="O63" s="469">
        <v>-1.25</v>
      </c>
      <c r="P63" s="624">
        <v>-1.25</v>
      </c>
    </row>
    <row r="64" spans="3:16">
      <c r="F64" s="475" t="s">
        <v>56</v>
      </c>
      <c r="G64" s="478" t="s">
        <v>57</v>
      </c>
      <c r="H64" s="473">
        <v>0</v>
      </c>
      <c r="I64" s="472">
        <v>0</v>
      </c>
      <c r="J64" s="472">
        <v>0</v>
      </c>
      <c r="K64" s="472">
        <v>0</v>
      </c>
      <c r="L64" s="472">
        <v>0</v>
      </c>
      <c r="M64" s="472">
        <v>0</v>
      </c>
      <c r="N64" s="472">
        <v>0</v>
      </c>
      <c r="O64" s="472">
        <v>0</v>
      </c>
      <c r="P64" s="626">
        <v>0</v>
      </c>
    </row>
    <row r="65" spans="6:16">
      <c r="F65" s="477"/>
      <c r="G65" s="464" t="s">
        <v>270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1"/>
      <c r="G66" s="476" t="s">
        <v>269</v>
      </c>
      <c r="H66" s="457">
        <v>0</v>
      </c>
      <c r="I66" s="456">
        <v>0</v>
      </c>
      <c r="J66" s="456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5">
        <v>0</v>
      </c>
    </row>
    <row r="67" spans="6:16">
      <c r="F67" s="475" t="s">
        <v>60</v>
      </c>
      <c r="G67" s="474" t="s">
        <v>268</v>
      </c>
      <c r="H67" s="473">
        <v>0</v>
      </c>
      <c r="I67" s="472">
        <v>0</v>
      </c>
      <c r="J67" s="472">
        <v>0</v>
      </c>
      <c r="K67" s="472">
        <v>0</v>
      </c>
      <c r="L67" s="472">
        <v>0</v>
      </c>
      <c r="M67" s="472">
        <v>0</v>
      </c>
      <c r="N67" s="472">
        <v>0</v>
      </c>
      <c r="O67" s="472">
        <v>0</v>
      </c>
      <c r="P67" s="626">
        <v>0</v>
      </c>
    </row>
    <row r="68" spans="6:16">
      <c r="F68" s="471"/>
      <c r="G68" s="470" t="s">
        <v>267</v>
      </c>
      <c r="H68" s="457">
        <v>-0.5</v>
      </c>
      <c r="I68" s="456">
        <v>-0.5</v>
      </c>
      <c r="J68" s="456">
        <v>-0.5</v>
      </c>
      <c r="K68" s="456">
        <v>-0.5</v>
      </c>
      <c r="L68" s="469">
        <v>-0.625</v>
      </c>
      <c r="M68" s="469">
        <v>-0.75</v>
      </c>
      <c r="N68" s="456">
        <v>-0.75</v>
      </c>
      <c r="O68" s="456" t="s">
        <v>14</v>
      </c>
      <c r="P68" s="455" t="s">
        <v>14</v>
      </c>
    </row>
    <row r="69" spans="6:16">
      <c r="F69" s="468" t="s">
        <v>62</v>
      </c>
      <c r="G69" s="467" t="s">
        <v>266</v>
      </c>
      <c r="H69" s="466">
        <v>0</v>
      </c>
      <c r="I69" s="465">
        <v>0</v>
      </c>
      <c r="J69" s="465">
        <v>0</v>
      </c>
      <c r="K69" s="465">
        <v>0</v>
      </c>
      <c r="L69" s="465">
        <v>0</v>
      </c>
      <c r="M69" s="465">
        <v>0</v>
      </c>
      <c r="N69" s="465">
        <v>0</v>
      </c>
      <c r="O69" s="465">
        <v>0</v>
      </c>
      <c r="P69" s="625">
        <v>0</v>
      </c>
    </row>
    <row r="70" spans="6:16">
      <c r="F70" s="463"/>
      <c r="G70" s="462" t="s">
        <v>265</v>
      </c>
      <c r="H70" s="461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59">
        <v>0</v>
      </c>
    </row>
    <row r="71" spans="6:16">
      <c r="F71" s="463"/>
      <c r="G71" s="464" t="s">
        <v>264</v>
      </c>
      <c r="H71" s="461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59">
        <v>0</v>
      </c>
    </row>
    <row r="72" spans="6:16">
      <c r="F72" s="463"/>
      <c r="G72" s="462" t="s">
        <v>263</v>
      </c>
      <c r="H72" s="461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59">
        <v>0</v>
      </c>
    </row>
    <row r="73" spans="6:16">
      <c r="F73" s="463"/>
      <c r="G73" s="462" t="s">
        <v>262</v>
      </c>
      <c r="H73" s="461">
        <v>0</v>
      </c>
      <c r="I73" s="460">
        <v>0</v>
      </c>
      <c r="J73" s="460">
        <v>0</v>
      </c>
      <c r="K73" s="460">
        <v>0</v>
      </c>
      <c r="L73" s="460">
        <v>0</v>
      </c>
      <c r="M73" s="460">
        <v>0</v>
      </c>
      <c r="N73" s="460">
        <v>0</v>
      </c>
      <c r="O73" s="460">
        <v>0</v>
      </c>
      <c r="P73" s="459">
        <v>0</v>
      </c>
    </row>
    <row r="74" spans="6:16">
      <c r="F74" s="463"/>
      <c r="G74" s="464" t="s">
        <v>261</v>
      </c>
      <c r="H74" s="461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59">
        <v>0</v>
      </c>
    </row>
    <row r="75" spans="6:16">
      <c r="F75" s="463"/>
      <c r="G75" s="462" t="s">
        <v>260</v>
      </c>
      <c r="H75" s="461">
        <v>-0.25</v>
      </c>
      <c r="I75" s="460">
        <v>-0.25</v>
      </c>
      <c r="J75" s="460">
        <v>-0.25</v>
      </c>
      <c r="K75" s="460">
        <v>-0.375</v>
      </c>
      <c r="L75" s="460">
        <v>-0.375</v>
      </c>
      <c r="M75" s="460">
        <v>-0.5</v>
      </c>
      <c r="N75" s="460" t="s">
        <v>14</v>
      </c>
      <c r="O75" s="460" t="s">
        <v>14</v>
      </c>
      <c r="P75" s="459" t="s">
        <v>14</v>
      </c>
    </row>
    <row r="76" spans="6:16">
      <c r="F76" s="463"/>
      <c r="G76" s="462" t="s">
        <v>259</v>
      </c>
      <c r="H76" s="461">
        <v>-2</v>
      </c>
      <c r="I76" s="460">
        <v>-2</v>
      </c>
      <c r="J76" s="460">
        <v>-2</v>
      </c>
      <c r="K76" s="460">
        <v>-2</v>
      </c>
      <c r="L76" s="460">
        <v>-2</v>
      </c>
      <c r="M76" s="460">
        <v>-2</v>
      </c>
      <c r="N76" s="460">
        <v>-2</v>
      </c>
      <c r="O76" s="460">
        <v>-2</v>
      </c>
      <c r="P76" s="459">
        <v>-2</v>
      </c>
    </row>
    <row r="77" spans="6:16">
      <c r="F77" s="458"/>
      <c r="G77" s="631" t="s">
        <v>348</v>
      </c>
      <c r="H77" s="457">
        <v>-0.5</v>
      </c>
      <c r="I77" s="456">
        <v>-0.5</v>
      </c>
      <c r="J77" s="456">
        <v>-0.5</v>
      </c>
      <c r="K77" s="456">
        <v>-0.5</v>
      </c>
      <c r="L77" s="456">
        <v>-0.5</v>
      </c>
      <c r="M77" s="456">
        <v>-0.5</v>
      </c>
      <c r="N77" s="456" t="s">
        <v>14</v>
      </c>
      <c r="O77" s="456" t="s">
        <v>14</v>
      </c>
      <c r="P77" s="455" t="s">
        <v>14</v>
      </c>
    </row>
  </sheetData>
  <mergeCells count="5">
    <mergeCell ref="C6:D6"/>
    <mergeCell ref="F19:G19"/>
    <mergeCell ref="H19:P19"/>
    <mergeCell ref="I13:J13"/>
    <mergeCell ref="L13:M13"/>
  </mergeCells>
  <conditionalFormatting sqref="G21">
    <cfRule type="cellIs" dxfId="108" priority="202" operator="between">
      <formula>101</formula>
      <formula>101.5</formula>
    </cfRule>
  </conditionalFormatting>
  <conditionalFormatting sqref="G29">
    <cfRule type="cellIs" dxfId="107" priority="201" operator="between">
      <formula>101</formula>
      <formula>101.5</formula>
    </cfRule>
  </conditionalFormatting>
  <conditionalFormatting sqref="G37">
    <cfRule type="cellIs" dxfId="106" priority="139" operator="between">
      <formula>101</formula>
      <formula>101.5</formula>
    </cfRule>
  </conditionalFormatting>
  <conditionalFormatting sqref="H23:H28">
    <cfRule type="cellIs" dxfId="105" priority="14" operator="between">
      <formula>101</formula>
      <formula>101.5</formula>
    </cfRule>
  </conditionalFormatting>
  <conditionalFormatting sqref="H31:H36">
    <cfRule type="cellIs" dxfId="104" priority="18" operator="between">
      <formula>101</formula>
      <formula>101.5</formula>
    </cfRule>
  </conditionalFormatting>
  <conditionalFormatting sqref="H39:H44">
    <cfRule type="cellIs" dxfId="103" priority="11" operator="between">
      <formula>101</formula>
      <formula>101.5</formula>
    </cfRule>
  </conditionalFormatting>
  <conditionalFormatting sqref="H26:N28">
    <cfRule type="cellIs" dxfId="102" priority="15" operator="between">
      <formula>101</formula>
      <formula>101.5</formula>
    </cfRule>
  </conditionalFormatting>
  <conditionalFormatting sqref="H34:N36">
    <cfRule type="cellIs" dxfId="101" priority="4" operator="between">
      <formula>101</formula>
      <formula>101.5</formula>
    </cfRule>
  </conditionalFormatting>
  <conditionalFormatting sqref="H42:N44">
    <cfRule type="cellIs" dxfId="100" priority="1" operator="between">
      <formula>101</formula>
      <formula>101.5</formula>
    </cfRule>
  </conditionalFormatting>
  <conditionalFormatting sqref="J21:L22 M21:N25 H23:L25">
    <cfRule type="cellIs" dxfId="99" priority="16" operator="between">
      <formula>101</formula>
      <formula>101.5</formula>
    </cfRule>
  </conditionalFormatting>
  <conditionalFormatting sqref="J29:L30 M29:N33 H31:L33">
    <cfRule type="cellIs" dxfId="98" priority="19" operator="between">
      <formula>101</formula>
      <formula>101.5</formula>
    </cfRule>
  </conditionalFormatting>
  <conditionalFormatting sqref="J37:L38 M37:N41 H39:L41">
    <cfRule type="cellIs" dxfId="97" priority="12" operator="between">
      <formula>101</formula>
      <formula>101.5</formula>
    </cfRule>
  </conditionalFormatting>
  <conditionalFormatting sqref="L25">
    <cfRule type="cellIs" dxfId="96" priority="13" operator="between">
      <formula>101</formula>
      <formula>101.5</formula>
    </cfRule>
  </conditionalFormatting>
  <conditionalFormatting sqref="L33">
    <cfRule type="cellIs" dxfId="95" priority="17" operator="between">
      <formula>101</formula>
      <formula>101.5</formula>
    </cfRule>
  </conditionalFormatting>
  <conditionalFormatting sqref="L41">
    <cfRule type="cellIs" dxfId="94" priority="10" operator="between">
      <formula>101</formula>
      <formula>101.5</formula>
    </cfRule>
  </conditionalFormatting>
  <conditionalFormatting sqref="N25">
    <cfRule type="cellIs" dxfId="93" priority="3" operator="between">
      <formula>101</formula>
      <formula>101.5</formula>
    </cfRule>
  </conditionalFormatting>
  <conditionalFormatting sqref="N33">
    <cfRule type="cellIs" dxfId="92" priority="5" operator="between">
      <formula>101</formula>
      <formula>101.5</formula>
    </cfRule>
  </conditionalFormatting>
  <conditionalFormatting sqref="N41">
    <cfRule type="cellIs" dxfId="91" priority="2" operator="between">
      <formula>101</formula>
      <formula>101.5</formula>
    </cfRule>
  </conditionalFormatting>
  <conditionalFormatting sqref="O21:O24">
    <cfRule type="cellIs" dxfId="90" priority="8" operator="between">
      <formula>101</formula>
      <formula>101.5</formula>
    </cfRule>
  </conditionalFormatting>
  <conditionalFormatting sqref="O28:O44">
    <cfRule type="cellIs" dxfId="89" priority="7" operator="between">
      <formula>101</formula>
      <formula>101.5</formula>
    </cfRule>
  </conditionalFormatting>
  <conditionalFormatting sqref="O21:P27">
    <cfRule type="cellIs" dxfId="88" priority="9" operator="between">
      <formula>101</formula>
      <formula>101.5</formula>
    </cfRule>
  </conditionalFormatting>
  <conditionalFormatting sqref="P21:P44">
    <cfRule type="cellIs" dxfId="87" priority="6" operator="between">
      <formula>101</formula>
      <formula>101.5</formula>
    </cfRule>
  </conditionalFormatting>
  <dataValidations disablePrompts="1"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9C50CFD3-E8A4-43AE-A82A-44B040AEEF3A}">
          <x14:formula1>
            <xm:f>margins!$X$128:$X$129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margins!$X$131:$X$133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margins!$X$134:$X$137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margins!$X$140:$X$149</xm:f>
          </x14:formula1>
          <xm:sqref>S21</xm:sqref>
        </x14:dataValidation>
        <x14:dataValidation type="list" allowBlank="1" showInputMessage="1" showErrorMessage="1" xr:uid="{C9AC3A0C-0FC1-4629-B7D4-7A94B07D36A6}">
          <x14:formula1>
            <xm:f>margins!$X$151:$X$153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margins!$X$155:$X$158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margins!$X$160:$X$162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margins!$X$164:$X$173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margins!$X$178:$X$181</xm:f>
          </x14:formula1>
          <xm:sqref>S20</xm:sqref>
        </x14:dataValidation>
        <x14:dataValidation type="list" allowBlank="1" showInputMessage="1" showErrorMessage="1" xr:uid="{2505DFC8-7C59-4D1C-8599-65A936DB02CE}">
          <x14:formula1>
            <xm:f>margins!$X$183:$X$184</xm:f>
          </x14:formula1>
          <xm:sqref>S27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98"/>
  <sheetViews>
    <sheetView showGridLines="0" topLeftCell="A14" zoomScaleNormal="100" workbookViewId="0">
      <selection activeCell="S69" sqref="S69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7"/>
      <c r="G3" s="5"/>
      <c r="I3" s="6" t="s">
        <v>0</v>
      </c>
    </row>
    <row r="4" spans="3:20" ht="21.4" customHeight="1">
      <c r="C4" s="7"/>
      <c r="D4" s="8"/>
      <c r="I4" s="6" t="s">
        <v>636</v>
      </c>
      <c r="Q4" s="5"/>
    </row>
    <row r="5" spans="3:20" ht="19.5">
      <c r="C5" s="9"/>
      <c r="I5" s="30" t="s">
        <v>1</v>
      </c>
    </row>
    <row r="6" spans="3:20" ht="15.75">
      <c r="C6" s="1891" t="s">
        <v>309</v>
      </c>
      <c r="D6" s="1891"/>
      <c r="G6" s="1"/>
      <c r="I6" s="1"/>
    </row>
    <row r="7" spans="3:20" ht="15.75" thickBot="1">
      <c r="C7" s="10" t="s">
        <v>3</v>
      </c>
      <c r="D7" s="11" t="s">
        <v>304</v>
      </c>
      <c r="F7" s="527" t="s">
        <v>2</v>
      </c>
      <c r="G7" s="27"/>
      <c r="H7" s="1"/>
      <c r="I7" s="35" t="s">
        <v>303</v>
      </c>
      <c r="J7"/>
      <c r="K7"/>
      <c r="L7"/>
      <c r="M7"/>
    </row>
    <row r="8" spans="3:20" ht="15.75" thickBot="1">
      <c r="C8" s="113">
        <f>margins!AL3</f>
        <v>13.375</v>
      </c>
      <c r="D8" s="114">
        <v>110.9</v>
      </c>
      <c r="E8" s="15"/>
      <c r="F8" s="12" t="s">
        <v>6</v>
      </c>
      <c r="G8" s="13">
        <v>100</v>
      </c>
      <c r="H8" s="1"/>
      <c r="I8" s="526" t="s">
        <v>773</v>
      </c>
      <c r="J8" s="525"/>
      <c r="K8" s="525"/>
      <c r="L8" s="525"/>
      <c r="M8" s="524"/>
      <c r="O8"/>
      <c r="R8" s="424" t="s">
        <v>423</v>
      </c>
      <c r="S8" s="425"/>
      <c r="T8" s="1414">
        <v>46223.360266203701</v>
      </c>
    </row>
    <row r="9" spans="3:20" ht="15.75" thickBot="1">
      <c r="C9" s="113">
        <f>margins!AL4</f>
        <v>13.25</v>
      </c>
      <c r="D9" s="114">
        <v>110.77500000000001</v>
      </c>
      <c r="E9" s="18"/>
      <c r="F9" s="16" t="s">
        <v>8</v>
      </c>
      <c r="G9" s="523">
        <v>0</v>
      </c>
      <c r="H9" s="1"/>
      <c r="I9" s="82" t="s">
        <v>772</v>
      </c>
      <c r="J9"/>
      <c r="K9"/>
      <c r="L9"/>
      <c r="M9" s="522"/>
      <c r="O9"/>
    </row>
    <row r="10" spans="3:20" ht="15.75" thickBot="1">
      <c r="C10" s="113">
        <f>margins!AL5</f>
        <v>13.125</v>
      </c>
      <c r="D10" s="114">
        <v>110.65</v>
      </c>
      <c r="E10" s="18"/>
      <c r="F10" s="19" t="s">
        <v>10</v>
      </c>
      <c r="G10" s="523">
        <v>-0.375</v>
      </c>
      <c r="H10" s="1"/>
      <c r="I10" s="82" t="s">
        <v>302</v>
      </c>
      <c r="J10"/>
      <c r="K10"/>
      <c r="L10"/>
      <c r="M10" s="522"/>
      <c r="R10" s="441" t="s">
        <v>195</v>
      </c>
      <c r="S10" s="442" t="s">
        <v>196</v>
      </c>
      <c r="T10" s="442" t="s">
        <v>197</v>
      </c>
    </row>
    <row r="11" spans="3:20">
      <c r="C11" s="113">
        <f>margins!AL6</f>
        <v>13</v>
      </c>
      <c r="D11" s="114">
        <v>110.52500000000001</v>
      </c>
      <c r="E11" s="18"/>
      <c r="F11" s="642"/>
      <c r="G11" s="643"/>
      <c r="H11" s="1"/>
      <c r="I11" s="521" t="s">
        <v>301</v>
      </c>
      <c r="J11" s="520"/>
      <c r="K11" s="520"/>
      <c r="L11" s="520"/>
      <c r="M11" s="519"/>
    </row>
    <row r="12" spans="3:20" ht="15.75" thickBot="1">
      <c r="C12" s="113">
        <f>margins!AL7</f>
        <v>12.875</v>
      </c>
      <c r="D12" s="114">
        <v>110.4</v>
      </c>
      <c r="F12" s="518" t="s">
        <v>30</v>
      </c>
      <c r="G12" s="517"/>
      <c r="H12" s="1"/>
      <c r="J12" s="1540"/>
      <c r="K12" s="1540"/>
      <c r="L12" s="1540"/>
      <c r="M12" s="1540"/>
      <c r="N12" s="1540"/>
    </row>
    <row r="13" spans="3:20">
      <c r="C13" s="113">
        <f>margins!AL8</f>
        <v>12.75</v>
      </c>
      <c r="D13" s="114">
        <v>110.27500000000001</v>
      </c>
      <c r="F13" s="31" t="s">
        <v>83</v>
      </c>
      <c r="G13" s="33">
        <v>-0.25</v>
      </c>
      <c r="H13" s="1"/>
      <c r="I13" s="1532" t="s">
        <v>742</v>
      </c>
      <c r="J13" s="1533"/>
      <c r="K13" s="1534"/>
      <c r="L13" s="1535">
        <v>0.5</v>
      </c>
      <c r="M13" s="1536"/>
      <c r="R13" s="579" t="s">
        <v>199</v>
      </c>
      <c r="S13" s="431">
        <v>10</v>
      </c>
      <c r="T13" s="630">
        <f>_xlfn.IFNA(VLOOKUP(S13,$C$8:$D$48,2,FALSE), "NA")</f>
        <v>105.65</v>
      </c>
    </row>
    <row r="14" spans="3:20">
      <c r="C14" s="113">
        <f>margins!AL9</f>
        <v>12.625</v>
      </c>
      <c r="D14" s="114">
        <v>110.15</v>
      </c>
      <c r="F14" s="31" t="s">
        <v>84</v>
      </c>
      <c r="G14" s="33">
        <v>-0.32500000000000001</v>
      </c>
      <c r="H14" s="1"/>
      <c r="I14" s="1537" t="s">
        <v>743</v>
      </c>
      <c r="J14" s="520"/>
      <c r="K14" s="520"/>
      <c r="L14" s="520"/>
      <c r="M14" s="519"/>
      <c r="R14" s="581" t="s">
        <v>353</v>
      </c>
      <c r="S14" s="432" t="s">
        <v>19</v>
      </c>
      <c r="T14" s="436"/>
    </row>
    <row r="15" spans="3:20" ht="15" customHeight="1">
      <c r="C15" s="113">
        <f>margins!AL10</f>
        <v>12.5</v>
      </c>
      <c r="D15" s="114">
        <v>110.02500000000001</v>
      </c>
      <c r="F15" s="31" t="s">
        <v>85</v>
      </c>
      <c r="G15" s="33">
        <v>-0.55000000000000004</v>
      </c>
      <c r="H15" s="1"/>
      <c r="J15" s="1539"/>
      <c r="K15"/>
      <c r="L15"/>
      <c r="M15"/>
      <c r="N15"/>
      <c r="O15"/>
      <c r="R15" s="581" t="s">
        <v>200</v>
      </c>
      <c r="S15" s="432" t="s">
        <v>290</v>
      </c>
      <c r="T15" s="436"/>
    </row>
    <row r="16" spans="3:20" ht="15" customHeight="1">
      <c r="C16" s="113">
        <f>margins!AL11</f>
        <v>12.375</v>
      </c>
      <c r="D16" s="114">
        <v>109.9</v>
      </c>
      <c r="E16" s="18"/>
      <c r="F16" s="31" t="s">
        <v>86</v>
      </c>
      <c r="G16" s="33">
        <v>-0.65</v>
      </c>
      <c r="H16" s="1"/>
      <c r="I16" s="1"/>
      <c r="J16" s="1538"/>
      <c r="K16"/>
      <c r="L16"/>
      <c r="M16"/>
      <c r="N16"/>
      <c r="O16"/>
      <c r="R16" s="581" t="s">
        <v>198</v>
      </c>
      <c r="S16" s="432" t="s">
        <v>280</v>
      </c>
      <c r="T16" s="436">
        <f>IF(S16="Choose a Selection",0,(INDEX($H$22:$N$85,MATCH(S16,$G$22:$G$85,0),MATCH($S$14,$H$21:$N$21,0),1)))</f>
        <v>0</v>
      </c>
    </row>
    <row r="17" spans="3:20" ht="15" customHeight="1">
      <c r="C17" s="113">
        <f>margins!AL12</f>
        <v>12.25</v>
      </c>
      <c r="D17" s="114">
        <v>109.77500000000001</v>
      </c>
      <c r="E17" s="18"/>
      <c r="F17" s="516" t="s">
        <v>299</v>
      </c>
      <c r="G17" s="32"/>
      <c r="H17" s="1"/>
      <c r="I17" s="1"/>
      <c r="J17" s="1539"/>
      <c r="K17"/>
      <c r="L17"/>
      <c r="M17"/>
      <c r="N17"/>
      <c r="O17"/>
      <c r="R17" s="581" t="s">
        <v>4</v>
      </c>
      <c r="S17" s="432" t="s">
        <v>191</v>
      </c>
      <c r="T17" s="436">
        <f>IF(S17="Full Doc",INDEX($H$22:$N$29,MATCH(S15,G22:G29,0),MATCH(S14,$H$21:$N$21,0),1),0)</f>
        <v>0</v>
      </c>
    </row>
    <row r="18" spans="3:20" ht="15" customHeight="1">
      <c r="C18" s="113">
        <f>margins!AL13</f>
        <v>12.125</v>
      </c>
      <c r="D18" s="114">
        <v>109.65</v>
      </c>
      <c r="E18" s="18"/>
      <c r="H18" s="1"/>
      <c r="I18" s="1"/>
      <c r="M18"/>
      <c r="O18"/>
      <c r="R18" s="581" t="s">
        <v>517</v>
      </c>
      <c r="S18" s="432" t="s">
        <v>191</v>
      </c>
      <c r="T18" s="436">
        <f>IF(S18="Choose a Selection",0,(INDEX($H$30:$N$37,MATCH($S$15,G30:G37,0),MATCH($S$14,$H$21:$N$21,0),1)))</f>
        <v>0</v>
      </c>
    </row>
    <row r="19" spans="3:20" ht="15" customHeight="1">
      <c r="C19" s="113">
        <f>margins!AL14</f>
        <v>12</v>
      </c>
      <c r="D19" s="114">
        <v>109.52500000000001</v>
      </c>
      <c r="E19" s="18"/>
      <c r="H19" s="1"/>
      <c r="I19" s="1"/>
      <c r="M19"/>
      <c r="O19"/>
      <c r="R19" s="581" t="s">
        <v>518</v>
      </c>
      <c r="S19" s="432" t="s">
        <v>191</v>
      </c>
      <c r="T19" s="436">
        <f>IF(S19="Choose a Selection",0,(INDEX($H$53:$N$55,MATCH(S19,G53:G55,0),MATCH($S$14,$H$21:$N$21,0),1)))</f>
        <v>0</v>
      </c>
    </row>
    <row r="20" spans="3:20" ht="15" customHeight="1">
      <c r="C20" s="113">
        <f>margins!AL15</f>
        <v>11.875</v>
      </c>
      <c r="D20" s="114">
        <v>109.4</v>
      </c>
      <c r="E20" s="18"/>
      <c r="F20" s="1879" t="s">
        <v>216</v>
      </c>
      <c r="G20" s="1880"/>
      <c r="H20" s="1920" t="s">
        <v>298</v>
      </c>
      <c r="I20" s="1920"/>
      <c r="J20" s="1920"/>
      <c r="K20" s="1920"/>
      <c r="L20" s="1920"/>
      <c r="M20" s="1920"/>
      <c r="N20" s="1921"/>
      <c r="O20" s="35"/>
      <c r="R20" s="581" t="s">
        <v>519</v>
      </c>
      <c r="S20" s="432" t="s">
        <v>191</v>
      </c>
      <c r="T20" s="436">
        <f>IF(S20="Choose a Selection",0,(INDEX($H$38:$N$45,MATCH($S$15,G38:G45,0),MATCH($S$14,$H$21:$N$21,0),1)))</f>
        <v>0</v>
      </c>
    </row>
    <row r="21" spans="3:20" ht="15" customHeight="1">
      <c r="C21" s="113">
        <f>margins!AL16</f>
        <v>11.75</v>
      </c>
      <c r="D21" s="114">
        <v>109.27500000000001</v>
      </c>
      <c r="E21" s="18"/>
      <c r="F21" s="92"/>
      <c r="G21" s="93"/>
      <c r="H21" s="93" t="s">
        <v>15</v>
      </c>
      <c r="I21" s="93" t="s">
        <v>16</v>
      </c>
      <c r="J21" s="93" t="s">
        <v>17</v>
      </c>
      <c r="K21" s="93" t="s">
        <v>18</v>
      </c>
      <c r="L21" s="93" t="s">
        <v>19</v>
      </c>
      <c r="M21" s="93" t="s">
        <v>20</v>
      </c>
      <c r="N21" s="28" t="s">
        <v>21</v>
      </c>
      <c r="R21" s="581" t="s">
        <v>109</v>
      </c>
      <c r="S21" s="432" t="s">
        <v>191</v>
      </c>
      <c r="T21" s="436">
        <f>IF(S21="Choose a Selection",0,(INDEX($H$46:$N$52,MATCH($S$15,G46:G52,0),MATCH($S$14,$H$21:$N$21,0),1)))</f>
        <v>0</v>
      </c>
    </row>
    <row r="22" spans="3:20" ht="15" customHeight="1">
      <c r="C22" s="113">
        <f>margins!AL17</f>
        <v>11.625</v>
      </c>
      <c r="D22" s="114">
        <v>109.15</v>
      </c>
      <c r="E22" s="18"/>
      <c r="F22" s="577" t="s">
        <v>516</v>
      </c>
      <c r="G22" s="576" t="s">
        <v>295</v>
      </c>
      <c r="H22" s="1547">
        <v>2.875</v>
      </c>
      <c r="I22" s="1548">
        <v>2.875</v>
      </c>
      <c r="J22" s="1549">
        <v>2.875</v>
      </c>
      <c r="K22" s="1549">
        <v>2.375</v>
      </c>
      <c r="L22" s="1549">
        <v>2.125</v>
      </c>
      <c r="M22" s="1549">
        <v>1.25</v>
      </c>
      <c r="N22" s="1550">
        <v>0</v>
      </c>
      <c r="R22" s="581" t="s">
        <v>767</v>
      </c>
      <c r="S22" s="432" t="s">
        <v>191</v>
      </c>
      <c r="T22" s="436">
        <f>IF(S22="Choose a Selection",0,(INDEX($H$71:$N$74,MATCH($S$22,G71:G74,0),MATCH($S$14,$H$21:$N$21,0),1)))</f>
        <v>0</v>
      </c>
    </row>
    <row r="23" spans="3:20" ht="15" customHeight="1">
      <c r="C23" s="113">
        <f>margins!AL18</f>
        <v>11.5</v>
      </c>
      <c r="D23" s="114">
        <v>109.02500000000001</v>
      </c>
      <c r="E23" s="18"/>
      <c r="F23" s="575" t="s">
        <v>765</v>
      </c>
      <c r="G23" s="568" t="s">
        <v>294</v>
      </c>
      <c r="H23" s="1551">
        <v>2.875</v>
      </c>
      <c r="I23" s="1552">
        <v>2.875</v>
      </c>
      <c r="J23" s="1553">
        <v>2.875</v>
      </c>
      <c r="K23" s="1553">
        <v>2.375</v>
      </c>
      <c r="L23" s="1553">
        <v>2.125</v>
      </c>
      <c r="M23" s="1553">
        <v>1.125</v>
      </c>
      <c r="N23" s="1554">
        <v>-0.125</v>
      </c>
      <c r="R23" s="581" t="s">
        <v>279</v>
      </c>
      <c r="S23" s="432" t="s">
        <v>191</v>
      </c>
      <c r="T23" s="436">
        <f>IF(S23="Choose a Selection",0,(INDEX($H$22:$N$85,MATCH(S23,$G$22:$G$85,0),MATCH($S$14,$H$21:$N$21,0),1)))</f>
        <v>0</v>
      </c>
    </row>
    <row r="24" spans="3:20" ht="15" customHeight="1">
      <c r="C24" s="113">
        <f>margins!AL19</f>
        <v>11.375</v>
      </c>
      <c r="D24" s="114">
        <v>108.77500000000001</v>
      </c>
      <c r="E24" s="18"/>
      <c r="F24" s="574"/>
      <c r="G24" s="567" t="s">
        <v>293</v>
      </c>
      <c r="H24" s="1555">
        <v>2.375</v>
      </c>
      <c r="I24" s="1556">
        <v>2.375</v>
      </c>
      <c r="J24" s="1556">
        <v>2.375</v>
      </c>
      <c r="K24" s="1556">
        <v>1.875</v>
      </c>
      <c r="L24" s="1556">
        <v>1.625</v>
      </c>
      <c r="M24" s="1556">
        <v>0.5</v>
      </c>
      <c r="N24" s="1557">
        <v>-0.875</v>
      </c>
      <c r="R24" s="581" t="s">
        <v>45</v>
      </c>
      <c r="S24" s="432" t="s">
        <v>191</v>
      </c>
      <c r="T24" s="436">
        <f>IF(S24="Choose a Selection",0,(INDEX($H$22:$N$85,MATCH(S24,$G$22:$G$85,0),MATCH($S$14,$H$21:$N$21,0),1)))</f>
        <v>0</v>
      </c>
    </row>
    <row r="25" spans="3:20" ht="15" customHeight="1">
      <c r="C25" s="113">
        <f>margins!AL20</f>
        <v>11.25</v>
      </c>
      <c r="D25" s="114">
        <v>108.52500000000001</v>
      </c>
      <c r="E25" s="18"/>
      <c r="F25" s="573"/>
      <c r="G25" s="567" t="s">
        <v>292</v>
      </c>
      <c r="H25" s="1555">
        <v>1.75</v>
      </c>
      <c r="I25" s="1556">
        <v>1.75</v>
      </c>
      <c r="J25" s="1556">
        <v>1.375</v>
      </c>
      <c r="K25" s="1556">
        <v>1.125</v>
      </c>
      <c r="L25" s="1556">
        <v>0.875</v>
      </c>
      <c r="M25" s="1556">
        <v>-0.375</v>
      </c>
      <c r="N25" s="1557">
        <v>-2.25</v>
      </c>
      <c r="R25" s="581" t="s">
        <v>308</v>
      </c>
      <c r="S25" s="432" t="s">
        <v>191</v>
      </c>
      <c r="T25" s="436">
        <f>IF(S25="Choose a Selection",0,(INDEX($H$22:$N$85,MATCH(S25,$G$22:$G$85,0),MATCH($S$14,$H$21:$N$21,0),1)))</f>
        <v>0</v>
      </c>
    </row>
    <row r="26" spans="3:20" ht="15" customHeight="1">
      <c r="C26" s="113">
        <f>margins!AL21</f>
        <v>11.125</v>
      </c>
      <c r="D26" s="114">
        <v>108.27500000000001</v>
      </c>
      <c r="E26" s="18"/>
      <c r="F26" s="572"/>
      <c r="G26" s="567" t="s">
        <v>291</v>
      </c>
      <c r="H26" s="1555">
        <v>0.875</v>
      </c>
      <c r="I26" s="1556">
        <v>0.875</v>
      </c>
      <c r="J26" s="1556">
        <v>0.375</v>
      </c>
      <c r="K26" s="1556">
        <v>0</v>
      </c>
      <c r="L26" s="1556">
        <v>-0.25</v>
      </c>
      <c r="M26" s="1556">
        <v>-1.25</v>
      </c>
      <c r="N26" s="1557">
        <v>-3.5</v>
      </c>
      <c r="R26" s="581" t="s">
        <v>554</v>
      </c>
      <c r="S26" s="432" t="s">
        <v>191</v>
      </c>
      <c r="T26" s="436">
        <f>IF(S26="Choose a Selection",0,(INDEX($H$86:$N$90,MATCH(S26,$G$86:$G$90,0),MATCH($S$14,$H$21:$N$21,0),1)))</f>
        <v>0</v>
      </c>
    </row>
    <row r="27" spans="3:20" ht="15" customHeight="1">
      <c r="C27" s="113">
        <f>margins!AL22</f>
        <v>11</v>
      </c>
      <c r="D27" s="114">
        <v>108.02500000000001</v>
      </c>
      <c r="E27" s="18"/>
      <c r="F27" s="571"/>
      <c r="G27" s="567" t="s">
        <v>290</v>
      </c>
      <c r="H27" s="1555">
        <v>-0.375</v>
      </c>
      <c r="I27" s="1556">
        <v>-0.375</v>
      </c>
      <c r="J27" s="1556">
        <v>-1</v>
      </c>
      <c r="K27" s="1556">
        <v>-1.5</v>
      </c>
      <c r="L27" s="1556">
        <v>-2</v>
      </c>
      <c r="M27" s="1556">
        <v>-2.75</v>
      </c>
      <c r="N27" s="1557">
        <v>-5.125</v>
      </c>
      <c r="R27" s="581" t="s">
        <v>662</v>
      </c>
      <c r="S27" s="432" t="s">
        <v>191</v>
      </c>
      <c r="T27" s="436">
        <f>IF(S27="Choose a Selection",0,(INDEX($H$91:$N$95,MATCH(S27,$G$91:$G$95,0),MATCH($S$14,$H$21:$N$21,0),1)))</f>
        <v>0</v>
      </c>
    </row>
    <row r="28" spans="3:20" ht="15" customHeight="1">
      <c r="C28" s="113">
        <f>margins!AL23</f>
        <v>10.875</v>
      </c>
      <c r="D28" s="114">
        <v>107.77500000000001</v>
      </c>
      <c r="E28" s="18"/>
      <c r="F28" s="571"/>
      <c r="G28" s="567" t="s">
        <v>289</v>
      </c>
      <c r="H28" s="1555">
        <v>-3.125</v>
      </c>
      <c r="I28" s="1556">
        <v>-3.125</v>
      </c>
      <c r="J28" s="1556">
        <v>-3.875</v>
      </c>
      <c r="K28" s="1556">
        <v>-4.25</v>
      </c>
      <c r="L28" s="1556">
        <v>-4.875</v>
      </c>
      <c r="M28" s="1556">
        <v>-5.875</v>
      </c>
      <c r="N28" s="1557" t="s">
        <v>14</v>
      </c>
      <c r="R28" s="581" t="s">
        <v>769</v>
      </c>
      <c r="S28" s="432" t="s">
        <v>191</v>
      </c>
      <c r="T28" s="436">
        <v>0</v>
      </c>
    </row>
    <row r="29" spans="3:20" ht="15" customHeight="1">
      <c r="C29" s="113">
        <f>margins!AL24</f>
        <v>10.75</v>
      </c>
      <c r="D29" s="114">
        <v>107.52500000000001</v>
      </c>
      <c r="E29" s="18"/>
      <c r="F29" s="570"/>
      <c r="G29" s="567" t="s">
        <v>288</v>
      </c>
      <c r="H29" s="1555">
        <v>-4.375</v>
      </c>
      <c r="I29" s="1556">
        <v>-4.5</v>
      </c>
      <c r="J29" s="1556">
        <v>-5</v>
      </c>
      <c r="K29" s="1556">
        <v>-5.625</v>
      </c>
      <c r="L29" s="1556">
        <v>-6.125</v>
      </c>
      <c r="M29" s="1556" t="s">
        <v>14</v>
      </c>
      <c r="N29" s="1557" t="s">
        <v>14</v>
      </c>
      <c r="R29" s="581" t="s">
        <v>62</v>
      </c>
      <c r="S29" s="432" t="s">
        <v>191</v>
      </c>
      <c r="T29" s="436">
        <f>IF(S29="Choose a Selection",0,(INDEX($H$22:$N$85,MATCH(S29,$G$22:$G$85,0),MATCH($S$14,$H$21:$N$21,0),1)))</f>
        <v>0</v>
      </c>
    </row>
    <row r="30" spans="3:20" ht="15" customHeight="1">
      <c r="C30" s="113">
        <f>margins!AL25</f>
        <v>10.625</v>
      </c>
      <c r="D30" s="114">
        <v>107.27500000000001</v>
      </c>
      <c r="E30" s="18"/>
      <c r="F30" s="504" t="s">
        <v>296</v>
      </c>
      <c r="G30" s="569" t="s">
        <v>295</v>
      </c>
      <c r="H30" s="1558">
        <v>1</v>
      </c>
      <c r="I30" s="1559">
        <v>1</v>
      </c>
      <c r="J30" s="1560">
        <v>0.75</v>
      </c>
      <c r="K30" s="1560">
        <v>0.375</v>
      </c>
      <c r="L30" s="1560">
        <v>0.125</v>
      </c>
      <c r="M30" s="1560">
        <v>-0.875</v>
      </c>
      <c r="N30" s="1561">
        <v>-1.75</v>
      </c>
      <c r="R30" s="581" t="s">
        <v>205</v>
      </c>
      <c r="S30" s="432">
        <v>15</v>
      </c>
      <c r="T30" s="436">
        <f>IF(S30=15,0,G10)</f>
        <v>0</v>
      </c>
    </row>
    <row r="31" spans="3:20" ht="15" customHeight="1">
      <c r="C31" s="113">
        <f>margins!AL26</f>
        <v>10.5</v>
      </c>
      <c r="D31" s="114">
        <v>107.02500000000001</v>
      </c>
      <c r="E31" s="18"/>
      <c r="F31" s="575">
        <v>1099</v>
      </c>
      <c r="G31" s="568" t="s">
        <v>294</v>
      </c>
      <c r="H31" s="1551">
        <v>1</v>
      </c>
      <c r="I31" s="1552">
        <v>1</v>
      </c>
      <c r="J31" s="1553">
        <v>0.75</v>
      </c>
      <c r="K31" s="1553">
        <v>0.375</v>
      </c>
      <c r="L31" s="1553">
        <v>0.125</v>
      </c>
      <c r="M31" s="1553">
        <v>-1</v>
      </c>
      <c r="N31" s="1554">
        <v>-1.875</v>
      </c>
      <c r="R31" s="1543" t="s">
        <v>669</v>
      </c>
      <c r="S31" s="432" t="s">
        <v>191</v>
      </c>
      <c r="T31" s="1544">
        <f>IF(S31="Loan Amount &gt;=100,000", 0.5, 0)</f>
        <v>0</v>
      </c>
    </row>
    <row r="32" spans="3:20" ht="15" customHeight="1" thickBot="1">
      <c r="C32" s="113">
        <f>margins!AL27</f>
        <v>10.375</v>
      </c>
      <c r="D32" s="114">
        <v>106.77500000000001</v>
      </c>
      <c r="E32" s="18"/>
      <c r="F32" s="504"/>
      <c r="G32" s="567" t="s">
        <v>293</v>
      </c>
      <c r="H32" s="1555">
        <v>0.5</v>
      </c>
      <c r="I32" s="1556">
        <v>0.5</v>
      </c>
      <c r="J32" s="1556">
        <v>0.25</v>
      </c>
      <c r="K32" s="1556">
        <v>-0.125</v>
      </c>
      <c r="L32" s="1556">
        <v>-0.375</v>
      </c>
      <c r="M32" s="1556">
        <v>-1.625</v>
      </c>
      <c r="N32" s="1557">
        <v>-2.625</v>
      </c>
      <c r="R32" s="581" t="s">
        <v>206</v>
      </c>
      <c r="S32" s="433"/>
      <c r="T32" s="437">
        <f>SUM(T16:T31)</f>
        <v>0</v>
      </c>
    </row>
    <row r="33" spans="3:20" ht="15.75" thickBot="1">
      <c r="C33" s="113">
        <f>margins!AL28</f>
        <v>10.25</v>
      </c>
      <c r="D33" s="114">
        <v>106.4</v>
      </c>
      <c r="E33" s="18"/>
      <c r="F33" s="504"/>
      <c r="G33" s="567" t="s">
        <v>292</v>
      </c>
      <c r="H33" s="1555">
        <v>0.125</v>
      </c>
      <c r="I33" s="1556">
        <v>0.125</v>
      </c>
      <c r="J33" s="1556">
        <v>-0.25</v>
      </c>
      <c r="K33" s="1556">
        <v>-0.625</v>
      </c>
      <c r="L33" s="1556">
        <v>-0.875</v>
      </c>
      <c r="M33" s="1556">
        <v>-2.25</v>
      </c>
      <c r="N33" s="1557">
        <v>-3.875</v>
      </c>
      <c r="R33" s="420"/>
      <c r="S33" s="421"/>
      <c r="T33" s="430"/>
    </row>
    <row r="34" spans="3:20" ht="15.75" thickBot="1">
      <c r="C34" s="113">
        <f>margins!AL29</f>
        <v>10.125</v>
      </c>
      <c r="D34" s="114">
        <v>106.02500000000001</v>
      </c>
      <c r="E34" s="18"/>
      <c r="F34" s="504"/>
      <c r="G34" s="567" t="s">
        <v>291</v>
      </c>
      <c r="H34" s="1555">
        <v>-0.5</v>
      </c>
      <c r="I34" s="1556">
        <v>-0.5</v>
      </c>
      <c r="J34" s="1556">
        <v>-1</v>
      </c>
      <c r="K34" s="1556">
        <v>-1.5</v>
      </c>
      <c r="L34" s="1556">
        <v>-1.75</v>
      </c>
      <c r="M34" s="1556">
        <v>-2.875</v>
      </c>
      <c r="N34" s="1557">
        <v>-5</v>
      </c>
      <c r="R34" s="422" t="s">
        <v>207</v>
      </c>
      <c r="S34" s="423"/>
      <c r="T34" s="584">
        <f>IFERROR(IF(ISNUMBER(MATCH("NA", T16:T31, 0)), "NA", IF(AND(S28="No PPP", OR(S26&lt;&gt;"Choose a Selection", S27&lt;&gt;"Choose a Selection")), "False",  MIN(G8,(T13+T32)))), "NA")</f>
        <v>100</v>
      </c>
    </row>
    <row r="35" spans="3:20" ht="15.75" thickBot="1">
      <c r="C35" s="113">
        <f>margins!AL30</f>
        <v>10</v>
      </c>
      <c r="D35" s="114">
        <v>105.65</v>
      </c>
      <c r="E35" s="18"/>
      <c r="F35" s="504"/>
      <c r="G35" s="567" t="s">
        <v>290</v>
      </c>
      <c r="H35" s="1555">
        <v>-1.625</v>
      </c>
      <c r="I35" s="1556">
        <v>-1.625</v>
      </c>
      <c r="J35" s="1556">
        <v>-2.25</v>
      </c>
      <c r="K35" s="1556">
        <v>-2.875</v>
      </c>
      <c r="L35" s="1556">
        <v>-3.375</v>
      </c>
      <c r="M35" s="1556">
        <v>-4.25</v>
      </c>
      <c r="N35" s="1562" t="s">
        <v>14</v>
      </c>
      <c r="R35" s="417"/>
      <c r="S35" s="417"/>
      <c r="T35" s="417"/>
    </row>
    <row r="36" spans="3:20" ht="15.75" thickBot="1">
      <c r="C36" s="113">
        <f>margins!AL31</f>
        <v>9.875</v>
      </c>
      <c r="D36" s="114">
        <v>105.27500000000001</v>
      </c>
      <c r="E36" s="18"/>
      <c r="F36" s="504"/>
      <c r="G36" s="567" t="s">
        <v>289</v>
      </c>
      <c r="H36" s="1555">
        <v>-4.125</v>
      </c>
      <c r="I36" s="1556">
        <v>-4.125</v>
      </c>
      <c r="J36" s="1556">
        <v>-4.875</v>
      </c>
      <c r="K36" s="1556">
        <v>-5.375</v>
      </c>
      <c r="L36" s="1556">
        <v>-6</v>
      </c>
      <c r="M36" s="1556" t="s">
        <v>14</v>
      </c>
      <c r="N36" s="1562" t="s">
        <v>14</v>
      </c>
      <c r="R36" s="746" t="s">
        <v>447</v>
      </c>
      <c r="S36" s="747"/>
      <c r="T36" s="748"/>
    </row>
    <row r="37" spans="3:20">
      <c r="C37" s="113">
        <f>margins!AL32</f>
        <v>9.75</v>
      </c>
      <c r="D37" s="114">
        <v>104.9</v>
      </c>
      <c r="F37" s="870"/>
      <c r="G37" s="567" t="s">
        <v>288</v>
      </c>
      <c r="H37" s="1555">
        <v>-5.875</v>
      </c>
      <c r="I37" s="1556">
        <v>-6</v>
      </c>
      <c r="J37" s="1556">
        <v>-6.5</v>
      </c>
      <c r="K37" s="1556" t="s">
        <v>14</v>
      </c>
      <c r="L37" s="1556" t="s">
        <v>14</v>
      </c>
      <c r="M37" s="1556" t="s">
        <v>14</v>
      </c>
      <c r="N37" s="1562" t="s">
        <v>14</v>
      </c>
    </row>
    <row r="38" spans="3:20">
      <c r="C38" s="113">
        <f>margins!AL33</f>
        <v>9.625</v>
      </c>
      <c r="D38" s="114">
        <v>104.52500000000001</v>
      </c>
      <c r="F38" s="504" t="s">
        <v>514</v>
      </c>
      <c r="G38" s="569" t="s">
        <v>295</v>
      </c>
      <c r="H38" s="1558">
        <v>-0.5</v>
      </c>
      <c r="I38" s="1559">
        <v>-0.5</v>
      </c>
      <c r="J38" s="1560">
        <v>-0.75</v>
      </c>
      <c r="K38" s="1560">
        <v>-1.375</v>
      </c>
      <c r="L38" s="1560">
        <v>-1.625</v>
      </c>
      <c r="M38" s="1560">
        <v>-2.75</v>
      </c>
      <c r="N38" s="1561">
        <v>-3.75</v>
      </c>
    </row>
    <row r="39" spans="3:20">
      <c r="C39" s="113">
        <f>margins!AL34</f>
        <v>9.5</v>
      </c>
      <c r="D39" s="114">
        <v>104.15</v>
      </c>
      <c r="F39" s="575" t="s">
        <v>88</v>
      </c>
      <c r="G39" s="568" t="s">
        <v>294</v>
      </c>
      <c r="H39" s="1551">
        <v>-0.5</v>
      </c>
      <c r="I39" s="1552">
        <v>-0.5</v>
      </c>
      <c r="J39" s="1553">
        <v>-0.75</v>
      </c>
      <c r="K39" s="1553">
        <v>-1.375</v>
      </c>
      <c r="L39" s="1553">
        <v>-1.625</v>
      </c>
      <c r="M39" s="1553">
        <v>-2.875</v>
      </c>
      <c r="N39" s="1554">
        <v>-4</v>
      </c>
    </row>
    <row r="40" spans="3:20">
      <c r="C40" s="113">
        <f>margins!AL35</f>
        <v>9.375</v>
      </c>
      <c r="D40" s="114">
        <v>103.77500000000001</v>
      </c>
      <c r="F40" s="504"/>
      <c r="G40" s="567" t="s">
        <v>293</v>
      </c>
      <c r="H40" s="1555">
        <v>-1</v>
      </c>
      <c r="I40" s="1556">
        <v>-1</v>
      </c>
      <c r="J40" s="1556">
        <v>-1.25</v>
      </c>
      <c r="K40" s="1556">
        <v>-1.875</v>
      </c>
      <c r="L40" s="1556">
        <v>-2.125</v>
      </c>
      <c r="M40" s="1556">
        <v>-3.5</v>
      </c>
      <c r="N40" s="1557">
        <v>-4.75</v>
      </c>
    </row>
    <row r="41" spans="3:20">
      <c r="C41" s="113">
        <f>margins!AL36</f>
        <v>9.25</v>
      </c>
      <c r="D41" s="114">
        <v>103.27500000000001</v>
      </c>
      <c r="F41" s="504"/>
      <c r="G41" s="567" t="s">
        <v>292</v>
      </c>
      <c r="H41" s="1555">
        <v>-1.375</v>
      </c>
      <c r="I41" s="1556">
        <v>-1.375</v>
      </c>
      <c r="J41" s="1556">
        <v>-1.75</v>
      </c>
      <c r="K41" s="1556">
        <v>-2.375</v>
      </c>
      <c r="L41" s="1556">
        <v>-2.625</v>
      </c>
      <c r="M41" s="1556">
        <v>-4.125</v>
      </c>
      <c r="N41" s="1557">
        <v>-6</v>
      </c>
    </row>
    <row r="42" spans="3:20">
      <c r="C42" s="113">
        <f>margins!AL37</f>
        <v>9.125</v>
      </c>
      <c r="D42" s="114">
        <v>102.77500000000001</v>
      </c>
      <c r="F42" s="504"/>
      <c r="G42" s="567" t="s">
        <v>291</v>
      </c>
      <c r="H42" s="1555">
        <v>-2.125</v>
      </c>
      <c r="I42" s="1556">
        <v>-2.125</v>
      </c>
      <c r="J42" s="1556">
        <v>-2.625</v>
      </c>
      <c r="K42" s="1556">
        <v>-3.375</v>
      </c>
      <c r="L42" s="1556">
        <v>-3.625</v>
      </c>
      <c r="M42" s="1556">
        <v>-4.875</v>
      </c>
      <c r="N42" s="1557">
        <v>-7.25</v>
      </c>
    </row>
    <row r="43" spans="3:20">
      <c r="C43" s="113">
        <f>margins!AL38</f>
        <v>9</v>
      </c>
      <c r="D43" s="114">
        <v>102.15</v>
      </c>
      <c r="F43" s="504"/>
      <c r="G43" s="567" t="s">
        <v>290</v>
      </c>
      <c r="H43" s="1555">
        <v>-3.375</v>
      </c>
      <c r="I43" s="1556">
        <v>-3.375</v>
      </c>
      <c r="J43" s="1556">
        <v>-4</v>
      </c>
      <c r="K43" s="1556">
        <v>-4.75</v>
      </c>
      <c r="L43" s="1556">
        <v>-5.25</v>
      </c>
      <c r="M43" s="1556" t="s">
        <v>14</v>
      </c>
      <c r="N43" s="1562" t="s">
        <v>14</v>
      </c>
    </row>
    <row r="44" spans="3:20">
      <c r="C44" s="113">
        <f>margins!AL39</f>
        <v>8.875</v>
      </c>
      <c r="D44" s="114">
        <v>101.52500000000001</v>
      </c>
      <c r="F44" s="504"/>
      <c r="G44" s="567" t="s">
        <v>289</v>
      </c>
      <c r="H44" s="1555">
        <v>-5.875</v>
      </c>
      <c r="I44" s="1556">
        <v>-5.875</v>
      </c>
      <c r="J44" s="1556">
        <v>-6.625</v>
      </c>
      <c r="K44" s="1556">
        <v>-7.25</v>
      </c>
      <c r="L44" s="1556" t="s">
        <v>14</v>
      </c>
      <c r="M44" s="1556" t="s">
        <v>14</v>
      </c>
      <c r="N44" s="1562" t="s">
        <v>14</v>
      </c>
    </row>
    <row r="45" spans="3:20">
      <c r="C45" s="113">
        <f>margins!AL40</f>
        <v>8.75</v>
      </c>
      <c r="D45" s="114">
        <v>100.9</v>
      </c>
      <c r="F45" s="504"/>
      <c r="G45" s="1563" t="s">
        <v>288</v>
      </c>
      <c r="H45" s="1564">
        <v>-7.875</v>
      </c>
      <c r="I45" s="1565">
        <v>-8</v>
      </c>
      <c r="J45" s="1565">
        <v>-8.5</v>
      </c>
      <c r="K45" s="1565" t="s">
        <v>14</v>
      </c>
      <c r="L45" s="1565" t="s">
        <v>14</v>
      </c>
      <c r="M45" s="1565" t="s">
        <v>14</v>
      </c>
      <c r="N45" s="1566" t="s">
        <v>14</v>
      </c>
    </row>
    <row r="46" spans="3:20">
      <c r="C46" s="113">
        <f>margins!AL41</f>
        <v>8.625</v>
      </c>
      <c r="D46" s="114">
        <v>100.15</v>
      </c>
      <c r="F46" s="1922" t="s">
        <v>109</v>
      </c>
      <c r="G46" s="576" t="s">
        <v>295</v>
      </c>
      <c r="H46" s="1547">
        <v>-0.625</v>
      </c>
      <c r="I46" s="1548">
        <v>-0.625</v>
      </c>
      <c r="J46" s="1549">
        <v>-0.875</v>
      </c>
      <c r="K46" s="1549">
        <v>-1.5</v>
      </c>
      <c r="L46" s="1549">
        <v>-1.75</v>
      </c>
      <c r="M46" s="1549">
        <v>-3</v>
      </c>
      <c r="N46" s="1550">
        <v>-4</v>
      </c>
    </row>
    <row r="47" spans="3:20">
      <c r="C47" s="113">
        <f>margins!AL42</f>
        <v>8.5</v>
      </c>
      <c r="D47" s="114">
        <v>99.4</v>
      </c>
      <c r="F47" s="1923"/>
      <c r="G47" s="568" t="s">
        <v>294</v>
      </c>
      <c r="H47" s="1551">
        <v>-0.625</v>
      </c>
      <c r="I47" s="1552">
        <v>-0.625</v>
      </c>
      <c r="J47" s="1553">
        <v>-0.875</v>
      </c>
      <c r="K47" s="1553">
        <v>-1.5</v>
      </c>
      <c r="L47" s="1553">
        <v>-1.75</v>
      </c>
      <c r="M47" s="1553">
        <v>-3.125</v>
      </c>
      <c r="N47" s="1554">
        <v>-4.25</v>
      </c>
    </row>
    <row r="48" spans="3:20">
      <c r="C48" s="113"/>
      <c r="D48" s="114"/>
      <c r="F48" s="1923"/>
      <c r="G48" s="567" t="s">
        <v>293</v>
      </c>
      <c r="H48" s="1555">
        <v>-1.125</v>
      </c>
      <c r="I48" s="1556">
        <v>-1.125</v>
      </c>
      <c r="J48" s="1556">
        <v>-1.375</v>
      </c>
      <c r="K48" s="1556">
        <v>-2</v>
      </c>
      <c r="L48" s="1556">
        <v>-2.25</v>
      </c>
      <c r="M48" s="1556">
        <v>-3.75</v>
      </c>
      <c r="N48" s="1557">
        <v>-5</v>
      </c>
    </row>
    <row r="49" spans="6:14">
      <c r="F49" s="1923"/>
      <c r="G49" s="567" t="s">
        <v>292</v>
      </c>
      <c r="H49" s="1555">
        <v>-1.5</v>
      </c>
      <c r="I49" s="1556">
        <v>-1.5</v>
      </c>
      <c r="J49" s="1556">
        <v>-1.875</v>
      </c>
      <c r="K49" s="1556">
        <v>-2.5</v>
      </c>
      <c r="L49" s="1556">
        <v>-2.75</v>
      </c>
      <c r="M49" s="1556">
        <v>-4.375</v>
      </c>
      <c r="N49" s="1557">
        <v>-6.25</v>
      </c>
    </row>
    <row r="50" spans="6:14">
      <c r="F50" s="1923"/>
      <c r="G50" s="567" t="s">
        <v>291</v>
      </c>
      <c r="H50" s="1555">
        <v>-2.375</v>
      </c>
      <c r="I50" s="1556">
        <v>-2.375</v>
      </c>
      <c r="J50" s="1556">
        <v>-2.875</v>
      </c>
      <c r="K50" s="1556">
        <v>-3.625</v>
      </c>
      <c r="L50" s="1556">
        <v>-3.875</v>
      </c>
      <c r="M50" s="1556">
        <v>-5.125</v>
      </c>
      <c r="N50" s="1557">
        <v>-7.5</v>
      </c>
    </row>
    <row r="51" spans="6:14">
      <c r="F51" s="1923"/>
      <c r="G51" s="567" t="s">
        <v>290</v>
      </c>
      <c r="H51" s="1555">
        <v>-3.625</v>
      </c>
      <c r="I51" s="1556">
        <v>-3.625</v>
      </c>
      <c r="J51" s="1556">
        <v>-4.25</v>
      </c>
      <c r="K51" s="1556">
        <v>-5</v>
      </c>
      <c r="L51" s="1556">
        <v>-5.5</v>
      </c>
      <c r="M51" s="1556">
        <v>-6.5</v>
      </c>
      <c r="N51" s="1562" t="s">
        <v>14</v>
      </c>
    </row>
    <row r="52" spans="6:14">
      <c r="F52" s="1924"/>
      <c r="G52" s="1581" t="s">
        <v>289</v>
      </c>
      <c r="H52" s="1582">
        <v>-6.25</v>
      </c>
      <c r="I52" s="1583">
        <v>-6.25</v>
      </c>
      <c r="J52" s="1583">
        <v>-7</v>
      </c>
      <c r="K52" s="1583">
        <v>-7.625</v>
      </c>
      <c r="L52" s="1583">
        <v>-8.25</v>
      </c>
      <c r="M52" s="1583" t="s">
        <v>14</v>
      </c>
      <c r="N52" s="1584" t="s">
        <v>14</v>
      </c>
    </row>
    <row r="53" spans="6:14">
      <c r="F53" s="566" t="s">
        <v>287</v>
      </c>
      <c r="G53" s="548" t="s">
        <v>286</v>
      </c>
      <c r="H53" s="1567">
        <v>0</v>
      </c>
      <c r="I53" s="1568">
        <v>0</v>
      </c>
      <c r="J53" s="1568">
        <v>0</v>
      </c>
      <c r="K53" s="1568">
        <v>0</v>
      </c>
      <c r="L53" s="1568">
        <v>0</v>
      </c>
      <c r="M53" s="1568">
        <v>0</v>
      </c>
      <c r="N53" s="1569">
        <v>0</v>
      </c>
    </row>
    <row r="54" spans="6:14">
      <c r="F54" s="561"/>
      <c r="G54" s="565" t="s">
        <v>285</v>
      </c>
      <c r="H54" s="564">
        <v>0</v>
      </c>
      <c r="I54" s="563">
        <v>0</v>
      </c>
      <c r="J54" s="563">
        <v>0</v>
      </c>
      <c r="K54" s="563">
        <v>0</v>
      </c>
      <c r="L54" s="563">
        <v>0</v>
      </c>
      <c r="M54" s="563">
        <v>0</v>
      </c>
      <c r="N54" s="562">
        <v>0</v>
      </c>
    </row>
    <row r="55" spans="6:14">
      <c r="F55" s="561"/>
      <c r="G55" s="560" t="s">
        <v>284</v>
      </c>
      <c r="H55" s="559">
        <v>0</v>
      </c>
      <c r="I55" s="558">
        <v>0</v>
      </c>
      <c r="J55" s="558">
        <v>0</v>
      </c>
      <c r="K55" s="558">
        <v>0</v>
      </c>
      <c r="L55" s="558">
        <v>0</v>
      </c>
      <c r="M55" s="558">
        <v>0</v>
      </c>
      <c r="N55" s="557">
        <v>0</v>
      </c>
    </row>
    <row r="56" spans="6:14">
      <c r="F56" s="534" t="s">
        <v>198</v>
      </c>
      <c r="G56" s="556" t="s">
        <v>283</v>
      </c>
      <c r="H56" s="555">
        <v>0.5</v>
      </c>
      <c r="I56" s="554">
        <v>0.5</v>
      </c>
      <c r="J56" s="554">
        <v>0.5</v>
      </c>
      <c r="K56" s="554">
        <v>0.5</v>
      </c>
      <c r="L56" s="554">
        <v>0.5</v>
      </c>
      <c r="M56" s="554">
        <v>0.5</v>
      </c>
      <c r="N56" s="553">
        <v>0.5</v>
      </c>
    </row>
    <row r="57" spans="6:14">
      <c r="F57" s="537"/>
      <c r="G57" s="489" t="s">
        <v>282</v>
      </c>
      <c r="H57" s="552">
        <v>0.5</v>
      </c>
      <c r="I57" s="551">
        <v>0.5</v>
      </c>
      <c r="J57" s="551">
        <v>0.5</v>
      </c>
      <c r="K57" s="551">
        <v>0.5</v>
      </c>
      <c r="L57" s="551">
        <v>0.5</v>
      </c>
      <c r="M57" s="551">
        <v>0.5</v>
      </c>
      <c r="N57" s="550">
        <v>0.5</v>
      </c>
    </row>
    <row r="58" spans="6:14">
      <c r="F58" s="537"/>
      <c r="G58" s="489" t="s">
        <v>281</v>
      </c>
      <c r="H58" s="552">
        <v>0.375</v>
      </c>
      <c r="I58" s="551">
        <v>0.375</v>
      </c>
      <c r="J58" s="551">
        <v>0.375</v>
      </c>
      <c r="K58" s="551">
        <v>0.375</v>
      </c>
      <c r="L58" s="551">
        <v>0.375</v>
      </c>
      <c r="M58" s="551">
        <v>0.375</v>
      </c>
      <c r="N58" s="550">
        <v>0.375</v>
      </c>
    </row>
    <row r="59" spans="6:14">
      <c r="F59" s="537"/>
      <c r="G59" s="538" t="s">
        <v>280</v>
      </c>
      <c r="H59" s="549">
        <v>0</v>
      </c>
      <c r="I59" s="529">
        <v>0</v>
      </c>
      <c r="J59" s="529">
        <v>0</v>
      </c>
      <c r="K59" s="529">
        <v>0</v>
      </c>
      <c r="L59" s="529">
        <v>0</v>
      </c>
      <c r="M59" s="529">
        <v>0</v>
      </c>
      <c r="N59" s="528">
        <v>0</v>
      </c>
    </row>
    <row r="60" spans="6:14">
      <c r="F60" s="534" t="s">
        <v>279</v>
      </c>
      <c r="G60" s="486" t="s">
        <v>426</v>
      </c>
      <c r="H60" s="466">
        <v>-0.25</v>
      </c>
      <c r="I60" s="465">
        <v>-0.25</v>
      </c>
      <c r="J60" s="465">
        <v>-0.25</v>
      </c>
      <c r="K60" s="465">
        <v>-0.25</v>
      </c>
      <c r="L60" s="465">
        <v>-0.25</v>
      </c>
      <c r="M60" s="465">
        <v>-0.25</v>
      </c>
      <c r="N60" s="625">
        <v>-0.25</v>
      </c>
    </row>
    <row r="61" spans="6:14">
      <c r="F61" s="537"/>
      <c r="G61" s="548" t="s">
        <v>278</v>
      </c>
      <c r="H61" s="547">
        <v>0</v>
      </c>
      <c r="I61" s="546">
        <v>0</v>
      </c>
      <c r="J61" s="546">
        <v>0</v>
      </c>
      <c r="K61" s="546">
        <v>0</v>
      </c>
      <c r="L61" s="546">
        <v>0</v>
      </c>
      <c r="M61" s="546">
        <v>0</v>
      </c>
      <c r="N61" s="545">
        <v>0</v>
      </c>
    </row>
    <row r="62" spans="6:14">
      <c r="F62" s="537"/>
      <c r="G62" s="548" t="s">
        <v>277</v>
      </c>
      <c r="H62" s="547">
        <v>0</v>
      </c>
      <c r="I62" s="546">
        <v>0</v>
      </c>
      <c r="J62" s="546">
        <v>0</v>
      </c>
      <c r="K62" s="546">
        <v>0</v>
      </c>
      <c r="L62" s="546">
        <v>0</v>
      </c>
      <c r="M62" s="546">
        <v>0</v>
      </c>
      <c r="N62" s="545">
        <v>0</v>
      </c>
    </row>
    <row r="63" spans="6:14">
      <c r="F63" s="537"/>
      <c r="G63" s="544" t="s">
        <v>276</v>
      </c>
      <c r="H63" s="543">
        <v>0</v>
      </c>
      <c r="I63" s="542">
        <v>0</v>
      </c>
      <c r="J63" s="542">
        <v>0</v>
      </c>
      <c r="K63" s="542">
        <v>0</v>
      </c>
      <c r="L63" s="542">
        <v>0</v>
      </c>
      <c r="M63" s="542">
        <v>0</v>
      </c>
      <c r="N63" s="541">
        <v>0</v>
      </c>
    </row>
    <row r="64" spans="6:14">
      <c r="F64" s="537"/>
      <c r="G64" s="548" t="s">
        <v>275</v>
      </c>
      <c r="H64" s="627">
        <v>0</v>
      </c>
      <c r="I64" s="460">
        <v>0</v>
      </c>
      <c r="J64" s="460">
        <v>0</v>
      </c>
      <c r="K64" s="460">
        <v>0</v>
      </c>
      <c r="L64" s="460">
        <v>0</v>
      </c>
      <c r="M64" s="460">
        <v>0</v>
      </c>
      <c r="N64" s="459">
        <v>0</v>
      </c>
    </row>
    <row r="65" spans="6:14">
      <c r="F65" s="537"/>
      <c r="G65" s="548" t="s">
        <v>274</v>
      </c>
      <c r="H65" s="628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59">
        <v>0</v>
      </c>
    </row>
    <row r="66" spans="6:14">
      <c r="F66" s="537"/>
      <c r="G66" s="484" t="s">
        <v>273</v>
      </c>
      <c r="H66" s="461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59">
        <v>0</v>
      </c>
    </row>
    <row r="67" spans="6:14">
      <c r="F67" s="537"/>
      <c r="G67" s="484" t="s">
        <v>515</v>
      </c>
      <c r="H67" s="461">
        <v>0</v>
      </c>
      <c r="I67" s="460">
        <v>0</v>
      </c>
      <c r="J67" s="460">
        <v>0</v>
      </c>
      <c r="K67" s="460">
        <v>0</v>
      </c>
      <c r="L67" s="460">
        <v>0</v>
      </c>
      <c r="M67" s="460">
        <v>0</v>
      </c>
      <c r="N67" s="459">
        <v>0</v>
      </c>
    </row>
    <row r="68" spans="6:14">
      <c r="F68" s="537"/>
      <c r="G68" s="484" t="s">
        <v>668</v>
      </c>
      <c r="H68" s="483">
        <v>0</v>
      </c>
      <c r="I68" s="482">
        <v>0</v>
      </c>
      <c r="J68" s="482">
        <v>0</v>
      </c>
      <c r="K68" s="482">
        <v>0</v>
      </c>
      <c r="L68" s="482">
        <v>0</v>
      </c>
      <c r="M68" s="482">
        <v>0</v>
      </c>
      <c r="N68" s="540">
        <v>0</v>
      </c>
    </row>
    <row r="69" spans="6:14">
      <c r="F69" s="534" t="s">
        <v>45</v>
      </c>
      <c r="G69" s="539" t="s">
        <v>272</v>
      </c>
      <c r="H69" s="473">
        <v>-0.25</v>
      </c>
      <c r="I69" s="472">
        <v>-0.25</v>
      </c>
      <c r="J69" s="472">
        <v>-0.25</v>
      </c>
      <c r="K69" s="472">
        <v>-0.375</v>
      </c>
      <c r="L69" s="480">
        <v>-0.375</v>
      </c>
      <c r="M69" s="480">
        <v>-0.375</v>
      </c>
      <c r="N69" s="622">
        <v>-0.5</v>
      </c>
    </row>
    <row r="70" spans="6:14">
      <c r="F70" s="531"/>
      <c r="G70" s="538" t="s">
        <v>271</v>
      </c>
      <c r="H70" s="457">
        <v>-0.75</v>
      </c>
      <c r="I70" s="456">
        <v>-0.75</v>
      </c>
      <c r="J70" s="456">
        <v>-0.75</v>
      </c>
      <c r="K70" s="456">
        <v>-0.75</v>
      </c>
      <c r="L70" s="469">
        <v>-0.75</v>
      </c>
      <c r="M70" s="469">
        <v>-0.75</v>
      </c>
      <c r="N70" s="624">
        <v>-1</v>
      </c>
    </row>
    <row r="71" spans="6:14">
      <c r="F71" s="1925" t="s">
        <v>109</v>
      </c>
      <c r="G71" s="1585" t="s">
        <v>748</v>
      </c>
      <c r="H71" s="1586">
        <v>0.5</v>
      </c>
      <c r="I71" s="1587">
        <v>0.5</v>
      </c>
      <c r="J71" s="1587">
        <v>0.5</v>
      </c>
      <c r="K71" s="1587">
        <v>0.5</v>
      </c>
      <c r="L71" s="1587">
        <v>0.5</v>
      </c>
      <c r="M71" s="1587">
        <v>0.5</v>
      </c>
      <c r="N71" s="1588">
        <v>0.5</v>
      </c>
    </row>
    <row r="72" spans="6:14">
      <c r="F72" s="1926"/>
      <c r="G72" s="1589" t="s">
        <v>749</v>
      </c>
      <c r="H72" s="1590">
        <v>0.25</v>
      </c>
      <c r="I72" s="536">
        <v>0.25</v>
      </c>
      <c r="J72" s="536">
        <v>0.25</v>
      </c>
      <c r="K72" s="536">
        <v>0.25</v>
      </c>
      <c r="L72" s="536">
        <v>0.25</v>
      </c>
      <c r="M72" s="536">
        <v>0.25</v>
      </c>
      <c r="N72" s="535">
        <v>0.25</v>
      </c>
    </row>
    <row r="73" spans="6:14">
      <c r="F73" s="1926"/>
      <c r="G73" s="1589" t="s">
        <v>750</v>
      </c>
      <c r="H73" s="1590">
        <v>0</v>
      </c>
      <c r="I73" s="536">
        <v>0</v>
      </c>
      <c r="J73" s="536">
        <v>0</v>
      </c>
      <c r="K73" s="536">
        <v>0</v>
      </c>
      <c r="L73" s="536">
        <v>0</v>
      </c>
      <c r="M73" s="536">
        <v>-0.125</v>
      </c>
      <c r="N73" s="535">
        <v>-0.125</v>
      </c>
    </row>
    <row r="74" spans="6:14">
      <c r="F74" s="1927"/>
      <c r="G74" s="1591" t="s">
        <v>751</v>
      </c>
      <c r="H74" s="1592">
        <v>-0.375</v>
      </c>
      <c r="I74" s="1593">
        <v>-0.375</v>
      </c>
      <c r="J74" s="1593">
        <v>-0.375</v>
      </c>
      <c r="K74" s="1593">
        <v>-0.375</v>
      </c>
      <c r="L74" s="1593">
        <v>-0.375</v>
      </c>
      <c r="M74" s="1593">
        <v>-0.5</v>
      </c>
      <c r="N74" s="1594">
        <v>-0.5</v>
      </c>
    </row>
    <row r="75" spans="6:14">
      <c r="F75" s="537" t="s">
        <v>62</v>
      </c>
      <c r="G75" s="1576" t="s">
        <v>266</v>
      </c>
      <c r="H75" s="1572">
        <v>0</v>
      </c>
      <c r="I75" s="1570">
        <v>0</v>
      </c>
      <c r="J75" s="1570">
        <v>0</v>
      </c>
      <c r="K75" s="1570">
        <v>0</v>
      </c>
      <c r="L75" s="1570">
        <v>0</v>
      </c>
      <c r="M75" s="1570">
        <v>0</v>
      </c>
      <c r="N75" s="1571">
        <v>0</v>
      </c>
    </row>
    <row r="76" spans="6:14">
      <c r="F76" s="537"/>
      <c r="G76" s="1577" t="s">
        <v>265</v>
      </c>
      <c r="H76" s="1573">
        <v>0</v>
      </c>
      <c r="I76" s="536">
        <v>0</v>
      </c>
      <c r="J76" s="536">
        <v>0</v>
      </c>
      <c r="K76" s="536">
        <v>0</v>
      </c>
      <c r="L76" s="536">
        <v>0</v>
      </c>
      <c r="M76" s="536">
        <v>0</v>
      </c>
      <c r="N76" s="535">
        <v>0</v>
      </c>
    </row>
    <row r="77" spans="6:14">
      <c r="F77" s="537"/>
      <c r="G77" s="1578" t="s">
        <v>264</v>
      </c>
      <c r="H77" s="1573">
        <v>0</v>
      </c>
      <c r="I77" s="536">
        <v>0</v>
      </c>
      <c r="J77" s="536">
        <v>0</v>
      </c>
      <c r="K77" s="536">
        <v>0</v>
      </c>
      <c r="L77" s="536">
        <v>0</v>
      </c>
      <c r="M77" s="536">
        <v>0</v>
      </c>
      <c r="N77" s="535">
        <v>0</v>
      </c>
    </row>
    <row r="78" spans="6:14">
      <c r="F78" s="537"/>
      <c r="G78" s="1577" t="s">
        <v>263</v>
      </c>
      <c r="H78" s="1573">
        <v>0</v>
      </c>
      <c r="I78" s="536">
        <v>0</v>
      </c>
      <c r="J78" s="536">
        <v>0</v>
      </c>
      <c r="K78" s="536">
        <v>0</v>
      </c>
      <c r="L78" s="536">
        <v>0</v>
      </c>
      <c r="M78" s="536">
        <v>0</v>
      </c>
      <c r="N78" s="535">
        <v>0</v>
      </c>
    </row>
    <row r="79" spans="6:14">
      <c r="F79" s="537"/>
      <c r="G79" s="1577" t="s">
        <v>262</v>
      </c>
      <c r="H79" s="1573">
        <v>0</v>
      </c>
      <c r="I79" s="536">
        <v>0</v>
      </c>
      <c r="J79" s="536">
        <v>0</v>
      </c>
      <c r="K79" s="536">
        <v>0</v>
      </c>
      <c r="L79" s="536">
        <v>0</v>
      </c>
      <c r="M79" s="536">
        <v>0</v>
      </c>
      <c r="N79" s="535">
        <v>0</v>
      </c>
    </row>
    <row r="80" spans="6:14">
      <c r="F80" s="537"/>
      <c r="G80" s="1578" t="s">
        <v>261</v>
      </c>
      <c r="H80" s="1573">
        <v>0</v>
      </c>
      <c r="I80" s="536">
        <v>0</v>
      </c>
      <c r="J80" s="536">
        <v>0</v>
      </c>
      <c r="K80" s="536">
        <v>0</v>
      </c>
      <c r="L80" s="536">
        <v>0</v>
      </c>
      <c r="M80" s="536">
        <v>0</v>
      </c>
      <c r="N80" s="535">
        <v>0</v>
      </c>
    </row>
    <row r="81" spans="6:14">
      <c r="F81" s="537"/>
      <c r="G81" s="1578" t="s">
        <v>260</v>
      </c>
      <c r="H81" s="1573">
        <v>-0.25</v>
      </c>
      <c r="I81" s="536">
        <v>-0.25</v>
      </c>
      <c r="J81" s="536">
        <v>-0.25</v>
      </c>
      <c r="K81" s="536">
        <v>-0.375</v>
      </c>
      <c r="L81" s="536">
        <v>-0.375</v>
      </c>
      <c r="M81" s="536">
        <v>-0.5</v>
      </c>
      <c r="N81" s="535" t="s">
        <v>14</v>
      </c>
    </row>
    <row r="82" spans="6:14">
      <c r="F82" s="537"/>
      <c r="G82" s="1578" t="s">
        <v>259</v>
      </c>
      <c r="H82" s="1573">
        <v>-2</v>
      </c>
      <c r="I82" s="536">
        <v>-2</v>
      </c>
      <c r="J82" s="536">
        <v>-2</v>
      </c>
      <c r="K82" s="536">
        <v>-2</v>
      </c>
      <c r="L82" s="536">
        <v>-2</v>
      </c>
      <c r="M82" s="536">
        <v>-2</v>
      </c>
      <c r="N82" s="535">
        <v>-2</v>
      </c>
    </row>
    <row r="83" spans="6:14">
      <c r="F83" s="531"/>
      <c r="G83" s="1578" t="s">
        <v>348</v>
      </c>
      <c r="H83" s="1573">
        <v>-0.5</v>
      </c>
      <c r="I83" s="536">
        <v>-0.5</v>
      </c>
      <c r="J83" s="536">
        <v>-0.5</v>
      </c>
      <c r="K83" s="536">
        <v>-0.5</v>
      </c>
      <c r="L83" s="536">
        <v>-0.5</v>
      </c>
      <c r="M83" s="536" t="s">
        <v>14</v>
      </c>
      <c r="N83" s="535" t="s">
        <v>14</v>
      </c>
    </row>
    <row r="84" spans="6:14">
      <c r="F84" s="534" t="s">
        <v>308</v>
      </c>
      <c r="G84" s="1579" t="s">
        <v>307</v>
      </c>
      <c r="H84" s="1574">
        <v>0</v>
      </c>
      <c r="I84" s="533">
        <v>0</v>
      </c>
      <c r="J84" s="533">
        <v>0</v>
      </c>
      <c r="K84" s="533">
        <v>0</v>
      </c>
      <c r="L84" s="533">
        <v>0</v>
      </c>
      <c r="M84" s="533">
        <v>0</v>
      </c>
      <c r="N84" s="532">
        <v>0</v>
      </c>
    </row>
    <row r="85" spans="6:14">
      <c r="F85" s="531"/>
      <c r="G85" s="1580" t="s">
        <v>306</v>
      </c>
      <c r="H85" s="1575">
        <v>0</v>
      </c>
      <c r="I85" s="530">
        <v>0</v>
      </c>
      <c r="J85" s="530">
        <v>0</v>
      </c>
      <c r="K85" s="530">
        <v>0</v>
      </c>
      <c r="L85" s="529">
        <v>0</v>
      </c>
      <c r="M85" s="529">
        <v>0</v>
      </c>
      <c r="N85" s="528">
        <v>0</v>
      </c>
    </row>
    <row r="86" spans="6:14">
      <c r="F86" s="537" t="s">
        <v>758</v>
      </c>
      <c r="G86" s="1595" t="s">
        <v>753</v>
      </c>
      <c r="H86" s="1572">
        <v>0.375</v>
      </c>
      <c r="I86" s="1570">
        <v>0.375</v>
      </c>
      <c r="J86" s="1570">
        <v>0.375</v>
      </c>
      <c r="K86" s="1570">
        <v>0.375</v>
      </c>
      <c r="L86" s="1570">
        <v>0.375</v>
      </c>
      <c r="M86" s="1570">
        <v>0.375</v>
      </c>
      <c r="N86" s="1571">
        <v>0.375</v>
      </c>
    </row>
    <row r="87" spans="6:14">
      <c r="F87" s="537"/>
      <c r="G87" s="1577" t="s">
        <v>754</v>
      </c>
      <c r="H87" s="1573">
        <v>0.625</v>
      </c>
      <c r="I87" s="536">
        <v>0.625</v>
      </c>
      <c r="J87" s="536">
        <v>0.625</v>
      </c>
      <c r="K87" s="536">
        <v>0.625</v>
      </c>
      <c r="L87" s="536">
        <v>0.625</v>
      </c>
      <c r="M87" s="536">
        <v>0.625</v>
      </c>
      <c r="N87" s="535">
        <v>0.625</v>
      </c>
    </row>
    <row r="88" spans="6:14">
      <c r="F88" s="537"/>
      <c r="G88" s="1578" t="s">
        <v>755</v>
      </c>
      <c r="H88" s="1573">
        <v>1.75</v>
      </c>
      <c r="I88" s="536">
        <v>1.75</v>
      </c>
      <c r="J88" s="536">
        <v>1.75</v>
      </c>
      <c r="K88" s="536">
        <v>1.75</v>
      </c>
      <c r="L88" s="536">
        <v>1.75</v>
      </c>
      <c r="M88" s="536">
        <v>1.75</v>
      </c>
      <c r="N88" s="535">
        <v>1.75</v>
      </c>
    </row>
    <row r="89" spans="6:14">
      <c r="F89" s="537"/>
      <c r="G89" s="1577" t="s">
        <v>756</v>
      </c>
      <c r="H89" s="1573">
        <v>2.125</v>
      </c>
      <c r="I89" s="536">
        <v>2.125</v>
      </c>
      <c r="J89" s="536">
        <v>2.125</v>
      </c>
      <c r="K89" s="536">
        <v>2.125</v>
      </c>
      <c r="L89" s="536">
        <v>2.125</v>
      </c>
      <c r="M89" s="536">
        <v>2.125</v>
      </c>
      <c r="N89" s="535">
        <v>2.125</v>
      </c>
    </row>
    <row r="90" spans="6:14">
      <c r="F90" s="531"/>
      <c r="G90" s="1596" t="s">
        <v>757</v>
      </c>
      <c r="H90" s="1597">
        <v>2.375</v>
      </c>
      <c r="I90" s="1593">
        <v>2.375</v>
      </c>
      <c r="J90" s="1593">
        <v>2.375</v>
      </c>
      <c r="K90" s="1593">
        <v>2.375</v>
      </c>
      <c r="L90" s="1593">
        <v>2.375</v>
      </c>
      <c r="M90" s="1593">
        <v>2.375</v>
      </c>
      <c r="N90" s="1594">
        <v>2.375</v>
      </c>
    </row>
    <row r="91" spans="6:14">
      <c r="F91" s="537" t="s">
        <v>759</v>
      </c>
      <c r="G91" s="1595" t="s">
        <v>753</v>
      </c>
      <c r="H91" s="1572">
        <v>0.125</v>
      </c>
      <c r="I91" s="1570">
        <v>0.125</v>
      </c>
      <c r="J91" s="1570">
        <v>0.125</v>
      </c>
      <c r="K91" s="1570">
        <v>0.125</v>
      </c>
      <c r="L91" s="1570">
        <v>0.125</v>
      </c>
      <c r="M91" s="1570">
        <v>0.125</v>
      </c>
      <c r="N91" s="1571">
        <v>0.125</v>
      </c>
    </row>
    <row r="92" spans="6:14">
      <c r="F92" s="1598" t="s">
        <v>760</v>
      </c>
      <c r="G92" s="1577" t="s">
        <v>754</v>
      </c>
      <c r="H92" s="1573">
        <v>0.25</v>
      </c>
      <c r="I92" s="536">
        <v>0.25</v>
      </c>
      <c r="J92" s="536">
        <v>0.25</v>
      </c>
      <c r="K92" s="536">
        <v>0.25</v>
      </c>
      <c r="L92" s="536">
        <v>0.25</v>
      </c>
      <c r="M92" s="536">
        <v>0.25</v>
      </c>
      <c r="N92" s="535">
        <v>0.25</v>
      </c>
    </row>
    <row r="93" spans="6:14">
      <c r="F93" s="537" t="s">
        <v>761</v>
      </c>
      <c r="G93" s="1578" t="s">
        <v>755</v>
      </c>
      <c r="H93" s="1573">
        <v>0.375</v>
      </c>
      <c r="I93" s="536">
        <v>0.375</v>
      </c>
      <c r="J93" s="536">
        <v>0.375</v>
      </c>
      <c r="K93" s="536">
        <v>0.375</v>
      </c>
      <c r="L93" s="536">
        <v>0.375</v>
      </c>
      <c r="M93" s="536">
        <v>0.375</v>
      </c>
      <c r="N93" s="535">
        <v>0.375</v>
      </c>
    </row>
    <row r="94" spans="6:14">
      <c r="F94" s="537" t="s">
        <v>762</v>
      </c>
      <c r="G94" s="1577" t="s">
        <v>756</v>
      </c>
      <c r="H94" s="1573">
        <v>0.5</v>
      </c>
      <c r="I94" s="536">
        <v>0.5</v>
      </c>
      <c r="J94" s="536">
        <v>0.5</v>
      </c>
      <c r="K94" s="536">
        <v>0.5</v>
      </c>
      <c r="L94" s="536">
        <v>0.5</v>
      </c>
      <c r="M94" s="536">
        <v>0.5</v>
      </c>
      <c r="N94" s="535">
        <v>0.5</v>
      </c>
    </row>
    <row r="95" spans="6:14">
      <c r="F95" s="1599"/>
      <c r="G95" s="1596" t="s">
        <v>757</v>
      </c>
      <c r="H95" s="1597">
        <v>0.625</v>
      </c>
      <c r="I95" s="1593">
        <v>0.625</v>
      </c>
      <c r="J95" s="1593">
        <v>0.625</v>
      </c>
      <c r="K95" s="1593">
        <v>0.625</v>
      </c>
      <c r="L95" s="1593">
        <v>0.625</v>
      </c>
      <c r="M95" s="1593">
        <v>0.625</v>
      </c>
      <c r="N95" s="1594">
        <v>0.625</v>
      </c>
    </row>
    <row r="96" spans="6:14">
      <c r="F96" s="534" t="s">
        <v>764</v>
      </c>
      <c r="G96" s="1917" t="s">
        <v>763</v>
      </c>
      <c r="H96" s="1600"/>
      <c r="I96" s="1601"/>
      <c r="J96" s="1601"/>
      <c r="K96" s="1601"/>
      <c r="L96" s="1601"/>
      <c r="M96" s="1601"/>
      <c r="N96" s="1602"/>
    </row>
    <row r="97" spans="6:14">
      <c r="F97" s="537" t="s">
        <v>770</v>
      </c>
      <c r="G97" s="1918"/>
      <c r="H97" s="1603">
        <v>0</v>
      </c>
      <c r="I97" s="1604">
        <v>0</v>
      </c>
      <c r="J97" s="1604">
        <v>0</v>
      </c>
      <c r="K97" s="1604">
        <v>0</v>
      </c>
      <c r="L97" s="1604">
        <v>0</v>
      </c>
      <c r="M97" s="1604">
        <v>0</v>
      </c>
      <c r="N97" s="1605">
        <v>0</v>
      </c>
    </row>
    <row r="98" spans="6:14">
      <c r="F98" s="531" t="s">
        <v>771</v>
      </c>
      <c r="G98" s="1919"/>
      <c r="H98" s="1606"/>
      <c r="I98" s="1607"/>
      <c r="J98" s="1608"/>
      <c r="K98" s="1608"/>
      <c r="L98" s="1608"/>
      <c r="M98" s="1608"/>
      <c r="N98" s="1609"/>
    </row>
  </sheetData>
  <mergeCells count="6">
    <mergeCell ref="G96:G98"/>
    <mergeCell ref="C6:D6"/>
    <mergeCell ref="H20:N20"/>
    <mergeCell ref="F20:G20"/>
    <mergeCell ref="F46:F52"/>
    <mergeCell ref="F71:F74"/>
  </mergeCells>
  <conditionalFormatting sqref="G22 N61:N63">
    <cfRule type="cellIs" dxfId="86" priority="119" operator="between">
      <formula>101</formula>
      <formula>101.5</formula>
    </cfRule>
  </conditionalFormatting>
  <conditionalFormatting sqref="G30">
    <cfRule type="cellIs" dxfId="85" priority="118" operator="between">
      <formula>101</formula>
      <formula>101.5</formula>
    </cfRule>
  </conditionalFormatting>
  <conditionalFormatting sqref="G38">
    <cfRule type="cellIs" dxfId="84" priority="68" operator="between">
      <formula>101</formula>
      <formula>101.5</formula>
    </cfRule>
  </conditionalFormatting>
  <conditionalFormatting sqref="G46">
    <cfRule type="cellIs" dxfId="83" priority="15" operator="between">
      <formula>101</formula>
      <formula>101.5</formula>
    </cfRule>
  </conditionalFormatting>
  <conditionalFormatting sqref="H24:H29">
    <cfRule type="cellIs" dxfId="82" priority="48" operator="between">
      <formula>101</formula>
      <formula>101.5</formula>
    </cfRule>
  </conditionalFormatting>
  <conditionalFormatting sqref="H32:H37">
    <cfRule type="cellIs" dxfId="81" priority="40" operator="between">
      <formula>101</formula>
      <formula>101.5</formula>
    </cfRule>
  </conditionalFormatting>
  <conditionalFormatting sqref="H40:H45">
    <cfRule type="cellIs" dxfId="80" priority="24" operator="between">
      <formula>101</formula>
      <formula>101.5</formula>
    </cfRule>
  </conditionalFormatting>
  <conditionalFormatting sqref="H29:L29">
    <cfRule type="cellIs" dxfId="79" priority="53" operator="between">
      <formula>101</formula>
      <formula>101.5</formula>
    </cfRule>
  </conditionalFormatting>
  <conditionalFormatting sqref="H35:L37">
    <cfRule type="cellIs" dxfId="78" priority="30" operator="between">
      <formula>101</formula>
      <formula>101.5</formula>
    </cfRule>
  </conditionalFormatting>
  <conditionalFormatting sqref="H43:L45">
    <cfRule type="cellIs" dxfId="77" priority="16" operator="between">
      <formula>101</formula>
      <formula>101.5</formula>
    </cfRule>
  </conditionalFormatting>
  <conditionalFormatting sqref="H24:M28">
    <cfRule type="cellIs" dxfId="76" priority="50" operator="between">
      <formula>101</formula>
      <formula>101.5</formula>
    </cfRule>
  </conditionalFormatting>
  <conditionalFormatting sqref="H48:M52">
    <cfRule type="cellIs" dxfId="75" priority="3" operator="between">
      <formula>101</formula>
      <formula>101.5</formula>
    </cfRule>
  </conditionalFormatting>
  <conditionalFormatting sqref="J22:M23">
    <cfRule type="cellIs" dxfId="74" priority="51" operator="between">
      <formula>101</formula>
      <formula>101.5</formula>
    </cfRule>
  </conditionalFormatting>
  <conditionalFormatting sqref="J30:M31 H32:M34">
    <cfRule type="cellIs" dxfId="73" priority="43" operator="between">
      <formula>101</formula>
      <formula>101.5</formula>
    </cfRule>
  </conditionalFormatting>
  <conditionalFormatting sqref="J38:M39 H40:M42">
    <cfRule type="cellIs" dxfId="72" priority="27" operator="between">
      <formula>101</formula>
      <formula>101.5</formula>
    </cfRule>
  </conditionalFormatting>
  <conditionalFormatting sqref="J46:M47">
    <cfRule type="cellIs" dxfId="71" priority="12" operator="between">
      <formula>101</formula>
      <formula>101.5</formula>
    </cfRule>
  </conditionalFormatting>
  <conditionalFormatting sqref="L26">
    <cfRule type="cellIs" dxfId="70" priority="47" operator="between">
      <formula>101</formula>
      <formula>101.5</formula>
    </cfRule>
  </conditionalFormatting>
  <conditionalFormatting sqref="L34">
    <cfRule type="cellIs" dxfId="69" priority="39" operator="between">
      <formula>101</formula>
      <formula>101.5</formula>
    </cfRule>
  </conditionalFormatting>
  <conditionalFormatting sqref="L42">
    <cfRule type="cellIs" dxfId="68" priority="23" operator="between">
      <formula>101</formula>
      <formula>101.5</formula>
    </cfRule>
  </conditionalFormatting>
  <conditionalFormatting sqref="L50">
    <cfRule type="cellIs" dxfId="67" priority="8" operator="between">
      <formula>101</formula>
      <formula>101.5</formula>
    </cfRule>
  </conditionalFormatting>
  <conditionalFormatting sqref="M22:M25">
    <cfRule type="cellIs" dxfId="66" priority="46" operator="between">
      <formula>101</formula>
      <formula>101.5</formula>
    </cfRule>
  </conditionalFormatting>
  <conditionalFormatting sqref="M29:M33">
    <cfRule type="cellIs" dxfId="65" priority="36" operator="between">
      <formula>101</formula>
      <formula>101.5</formula>
    </cfRule>
  </conditionalFormatting>
  <conditionalFormatting sqref="M35:M41">
    <cfRule type="cellIs" dxfId="64" priority="22" operator="between">
      <formula>101</formula>
      <formula>101.5</formula>
    </cfRule>
  </conditionalFormatting>
  <conditionalFormatting sqref="M43:M49">
    <cfRule type="cellIs" dxfId="63" priority="7" operator="between">
      <formula>101</formula>
      <formula>101.5</formula>
    </cfRule>
  </conditionalFormatting>
  <conditionalFormatting sqref="N22:N59">
    <cfRule type="cellIs" dxfId="62" priority="13" operator="between">
      <formula>101</formula>
      <formula>101.5</formula>
    </cfRule>
  </conditionalFormatting>
  <conditionalFormatting sqref="N71:N97">
    <cfRule type="cellIs" dxfId="61" priority="1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$G$56:$G$59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E44588A2-A2BE-4CAB-BA76-EF56D1A32168}">
          <x14:formula1>
            <xm:f>margins!$N$183:$N$185</xm:f>
          </x14:formula1>
          <xm:sqref>S30</xm:sqref>
        </x14:dataValidation>
        <x14:dataValidation type="list" allowBlank="1" showInputMessage="1" showErrorMessage="1" xr:uid="{73587AA0-FC1B-426E-9A0F-C2F02AA7EAF4}">
          <x14:formula1>
            <xm:f>margins!$AA$154:$AA$163</xm:f>
          </x14:formula1>
          <xm:sqref>S23</xm:sqref>
        </x14:dataValidation>
        <x14:dataValidation type="list" allowBlank="1" showInputMessage="1" showErrorMessage="1" xr:uid="{01B5E1A6-7BF5-413C-A114-E27ECDEFCB21}">
          <x14:formula1>
            <xm:f>margins!$X$134:$X$137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margins!$X$131:$X$133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margins!$X$128:$X$129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margins!$AA$128:$AA$130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margins!$X$151:$X$153</xm:f>
          </x14:formula1>
          <xm:sqref>S24</xm:sqref>
        </x14:dataValidation>
        <x14:dataValidation type="list" allowBlank="1" showInputMessage="1" showErrorMessage="1" xr:uid="{F6C42A6F-62EB-489B-9729-D78AB4489AA6}">
          <x14:formula1>
            <xm:f>margins!$X$164:$X$173</xm:f>
          </x14:formula1>
          <xm:sqref>S29</xm:sqref>
        </x14:dataValidation>
        <x14:dataValidation type="list" allowBlank="1" showInputMessage="1" showErrorMessage="1" xr:uid="{AF0F981D-6BCF-47F8-8FCB-F21B32E16223}">
          <x14:formula1>
            <xm:f>margins!$X$178:$X$180</xm:f>
          </x14:formula1>
          <xm:sqref>S20</xm:sqref>
        </x14:dataValidation>
        <x14:dataValidation type="list" allowBlank="1" showInputMessage="1" showErrorMessage="1" xr:uid="{62ADC632-B69F-4961-916B-1621F4A170E5}">
          <x14:formula1>
            <xm:f>margins!$AA$132:$AA$133</xm:f>
          </x14:formula1>
          <xm:sqref>S31</xm:sqref>
        </x14:dataValidation>
        <x14:dataValidation type="list" allowBlank="1" showInputMessage="1" showErrorMessage="1" xr:uid="{1381A99F-354F-4A47-8165-AC4FDC69B4E3}">
          <x14:formula1>
            <xm:f>margins!$AA$135:$AA$136</xm:f>
          </x14:formula1>
          <xm:sqref>S21</xm:sqref>
        </x14:dataValidation>
        <x14:dataValidation type="list" allowBlank="1" showInputMessage="1" showErrorMessage="1" xr:uid="{52324C11-A9A8-4C1A-B76E-F44FB52079EB}">
          <x14:formula1>
            <xm:f>margins!$AA$138:$AA$142</xm:f>
          </x14:formula1>
          <xm:sqref>S22</xm:sqref>
        </x14:dataValidation>
        <x14:dataValidation type="list" allowBlank="1" showInputMessage="1" showErrorMessage="1" xr:uid="{65EF8D68-1261-4D5A-BE91-2D7B8FBCC5F3}">
          <x14:formula1>
            <xm:f>margins!$AA$144:$AA$149</xm:f>
          </x14:formula1>
          <xm:sqref>S26:S27</xm:sqref>
        </x14:dataValidation>
        <x14:dataValidation type="list" allowBlank="1" showInputMessage="1" showErrorMessage="1" xr:uid="{B9EA7E17-21BD-41FB-ABBD-7F428A5A1B35}">
          <x14:formula1>
            <xm:f>margins!$AA$151:$AA$152</xm:f>
          </x14:formula1>
          <xm:sqref>S28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19.85546875" style="936" customWidth="1"/>
    <col min="3" max="3" width="26.42578125" style="936" customWidth="1"/>
    <col min="4" max="4" width="13.7109375" style="936" customWidth="1"/>
    <col min="5" max="5" width="13.85546875" style="936" customWidth="1"/>
    <col min="6" max="6" width="16.85546875" style="936" customWidth="1"/>
    <col min="7" max="7" width="16.42578125" style="936" customWidth="1"/>
    <col min="8" max="8" width="14.7109375" style="936" customWidth="1"/>
    <col min="9" max="9" width="10.7109375" style="936" bestFit="1" customWidth="1"/>
    <col min="10" max="10" width="17.7109375" style="936" customWidth="1"/>
    <col min="11" max="11" width="15.28515625" style="936" customWidth="1"/>
    <col min="12" max="12" width="13.7109375" style="936" customWidth="1"/>
    <col min="13" max="13" width="4.140625" style="936" customWidth="1"/>
    <col min="14" max="14" width="9.140625" style="935" customWidth="1"/>
    <col min="15" max="15" width="19.85546875" style="935" customWidth="1"/>
    <col min="16" max="16" width="18.7109375" style="935" customWidth="1"/>
    <col min="17" max="17" width="16.5703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172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>
      <c r="A10" s="1748" t="s">
        <v>309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715" t="s">
        <v>347</v>
      </c>
      <c r="P10" s="1716"/>
      <c r="Q10" s="1716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1"/>
      <c r="P11" s="1"/>
      <c r="Q11" s="1"/>
    </row>
    <row r="12" spans="1:17" s="936" customFormat="1" ht="15.75" thickBot="1">
      <c r="A12" s="1144"/>
      <c r="B12" s="1142"/>
      <c r="C12"/>
      <c r="D12"/>
      <c r="E12"/>
      <c r="F12" s="1143"/>
      <c r="G12" s="1142"/>
      <c r="H12" s="1142"/>
      <c r="I12" s="1142"/>
      <c r="J12" s="1142"/>
      <c r="K12" s="1142"/>
      <c r="L12" s="1142"/>
      <c r="M12" s="1165"/>
      <c r="O12" s="1112" t="s">
        <v>195</v>
      </c>
      <c r="P12" s="1112" t="s">
        <v>196</v>
      </c>
      <c r="Q12" s="1112" t="s">
        <v>197</v>
      </c>
    </row>
    <row r="13" spans="1:17" s="936" customFormat="1" ht="15.75" thickBot="1">
      <c r="A13" s="1129"/>
      <c r="B13" s="1275" t="s">
        <v>211</v>
      </c>
      <c r="C13" s="1275" t="s">
        <v>304</v>
      </c>
      <c r="D13"/>
      <c r="E13" s="1081" t="s">
        <v>2</v>
      </c>
      <c r="F13" s="1080"/>
      <c r="H13" s="1901" t="s">
        <v>303</v>
      </c>
      <c r="I13" s="1902"/>
      <c r="J13" s="1903"/>
      <c r="M13" s="940"/>
      <c r="O13" s="1"/>
      <c r="P13" s="1"/>
      <c r="Q13" s="1"/>
    </row>
    <row r="14" spans="1:17" s="936" customFormat="1" ht="15.75" thickBot="1">
      <c r="A14" s="1129"/>
      <c r="B14" s="1340">
        <f>margins!AL3</f>
        <v>13.375</v>
      </c>
      <c r="C14" s="1341">
        <v>110.9</v>
      </c>
      <c r="D14"/>
      <c r="E14" s="1112" t="s">
        <v>6</v>
      </c>
      <c r="F14" s="1175">
        <v>100</v>
      </c>
      <c r="H14" s="1910" t="s">
        <v>689</v>
      </c>
      <c r="I14" s="1911"/>
      <c r="J14" s="1912"/>
      <c r="M14" s="940"/>
      <c r="O14" s="1"/>
      <c r="P14" s="1"/>
      <c r="Q14" s="1"/>
    </row>
    <row r="15" spans="1:17" s="936" customFormat="1" ht="15.75" thickBot="1">
      <c r="A15" s="1129"/>
      <c r="B15" s="1318">
        <f>margins!AL4</f>
        <v>13.25</v>
      </c>
      <c r="C15" s="1341">
        <v>110.77500000000001</v>
      </c>
      <c r="D15"/>
      <c r="E15" s="1112" t="s">
        <v>8</v>
      </c>
      <c r="F15" s="1134">
        <v>0</v>
      </c>
      <c r="H15" s="1898" t="s">
        <v>690</v>
      </c>
      <c r="I15" s="1899"/>
      <c r="J15" s="1900"/>
      <c r="M15" s="940"/>
      <c r="O15" s="579" t="s">
        <v>199</v>
      </c>
      <c r="P15" s="431">
        <v>10</v>
      </c>
      <c r="Q15" s="630" t="e">
        <f>VLOOKUP(P15,$B$14:$C$53,2,FALSE)</f>
        <v>#N/A</v>
      </c>
    </row>
    <row r="16" spans="1:17" s="936" customFormat="1" ht="15.75" thickBot="1">
      <c r="A16" s="1129"/>
      <c r="B16" s="1318">
        <f>margins!AL5</f>
        <v>13.125</v>
      </c>
      <c r="C16" s="1341">
        <v>110.65</v>
      </c>
      <c r="D16"/>
      <c r="E16" s="1101" t="s">
        <v>10</v>
      </c>
      <c r="F16" s="1331">
        <v>-0.375</v>
      </c>
      <c r="H16" s="1898"/>
      <c r="I16" s="1899"/>
      <c r="J16" s="1900"/>
      <c r="M16" s="940"/>
      <c r="O16" s="581" t="s">
        <v>353</v>
      </c>
      <c r="P16" s="432" t="s">
        <v>20</v>
      </c>
      <c r="Q16" s="436"/>
    </row>
    <row r="17" spans="1:17" s="936" customFormat="1">
      <c r="A17" s="1129"/>
      <c r="B17" s="1318">
        <f>margins!AL6</f>
        <v>13</v>
      </c>
      <c r="C17" s="1341">
        <v>110.52500000000001</v>
      </c>
      <c r="D17"/>
      <c r="E17"/>
      <c r="F17"/>
      <c r="H17" s="1907" t="s">
        <v>691</v>
      </c>
      <c r="I17" s="1908"/>
      <c r="J17" s="1909"/>
      <c r="L17" s="1080"/>
      <c r="M17" s="949"/>
      <c r="O17" s="581" t="s">
        <v>200</v>
      </c>
      <c r="P17" s="432" t="s">
        <v>290</v>
      </c>
      <c r="Q17" s="436"/>
    </row>
    <row r="18" spans="1:17" s="936" customFormat="1" ht="15" customHeight="1" thickBot="1">
      <c r="A18" s="1129"/>
      <c r="B18" s="1318">
        <f>margins!AL7</f>
        <v>12.875</v>
      </c>
      <c r="C18" s="1341">
        <v>110.4</v>
      </c>
      <c r="D18"/>
      <c r="E18"/>
      <c r="F18"/>
      <c r="H18" s="1913" t="s">
        <v>692</v>
      </c>
      <c r="I18" s="1914"/>
      <c r="J18" s="1915"/>
      <c r="L18" s="1218"/>
      <c r="M18" s="940"/>
      <c r="O18" s="581" t="s">
        <v>198</v>
      </c>
      <c r="P18" s="432" t="s">
        <v>280</v>
      </c>
      <c r="Q18" s="436">
        <f>IF(P18="Choose a Selection",0,(INDEX($D$57:$J$107,MATCH(P18,$C$57:$C$107,0),MATCH($P$16,$D$56:$J$56,0),1)))</f>
        <v>0</v>
      </c>
    </row>
    <row r="19" spans="1:17" s="936" customFormat="1">
      <c r="A19" s="1129"/>
      <c r="B19" s="1318">
        <f>margins!AL8</f>
        <v>12.75</v>
      </c>
      <c r="C19" s="1341">
        <v>110.27500000000001</v>
      </c>
      <c r="D19"/>
      <c r="E19" s="1729" t="s">
        <v>30</v>
      </c>
      <c r="F19" s="1769"/>
      <c r="L19" s="1218"/>
      <c r="M19" s="940"/>
      <c r="O19" s="581" t="s">
        <v>4</v>
      </c>
      <c r="P19" s="432" t="s">
        <v>191</v>
      </c>
      <c r="Q19" s="436">
        <f>IF(P19="Full Doc",INDEX($D$57:$J$64,MATCH(P17,C57:C64,0),MATCH(P16,$D$56:$J$56,0),1),0)</f>
        <v>0</v>
      </c>
    </row>
    <row r="20" spans="1:17" s="936" customFormat="1">
      <c r="A20" s="1129"/>
      <c r="B20" s="1318">
        <f>margins!AL9</f>
        <v>12.625</v>
      </c>
      <c r="C20" s="1341">
        <v>110.15</v>
      </c>
      <c r="D20"/>
      <c r="E20" s="1332" t="s">
        <v>83</v>
      </c>
      <c r="F20" s="1131">
        <v>-0.25</v>
      </c>
      <c r="L20" s="1218"/>
      <c r="M20" s="940"/>
      <c r="O20" s="581" t="s">
        <v>517</v>
      </c>
      <c r="P20" s="432" t="s">
        <v>191</v>
      </c>
      <c r="Q20" s="436">
        <f>IF(P20="Choose a Selection",0,(INDEX($D$65:$J$72,MATCH($P$17,C65:C72,0),MATCH($P$16,$D$56:$J$56,0),1)))</f>
        <v>0</v>
      </c>
    </row>
    <row r="21" spans="1:17" s="936" customFormat="1" ht="15" customHeight="1">
      <c r="A21" s="1129"/>
      <c r="B21" s="1318">
        <f>margins!AL10</f>
        <v>12.5</v>
      </c>
      <c r="C21" s="1341">
        <v>110.02500000000001</v>
      </c>
      <c r="D21"/>
      <c r="E21" s="1332" t="s">
        <v>84</v>
      </c>
      <c r="F21" s="1131">
        <v>-0.32500000000000001</v>
      </c>
      <c r="G21" s="1084"/>
      <c r="L21" s="1218"/>
      <c r="M21" s="940"/>
      <c r="O21" s="581" t="s">
        <v>518</v>
      </c>
      <c r="P21" s="432" t="s">
        <v>191</v>
      </c>
      <c r="Q21" s="436">
        <f>IF(P21="Choose a Selection",0,(INDEX($D$81:$J$83,MATCH($P$17,C81:C83,0),MATCH($P$16,$D$56:$J$56,0),1)))</f>
        <v>0</v>
      </c>
    </row>
    <row r="22" spans="1:17" s="936" customFormat="1">
      <c r="A22" s="1129"/>
      <c r="B22" s="1318">
        <f>margins!AL11</f>
        <v>12.375</v>
      </c>
      <c r="C22" s="1341">
        <v>109.9</v>
      </c>
      <c r="D22"/>
      <c r="E22" s="1332" t="s">
        <v>85</v>
      </c>
      <c r="F22" s="1338">
        <v>-0.55000000000000004</v>
      </c>
      <c r="L22" s="1218"/>
      <c r="M22" s="940"/>
      <c r="O22" s="581" t="s">
        <v>519</v>
      </c>
      <c r="P22" s="432" t="s">
        <v>191</v>
      </c>
      <c r="Q22" s="436">
        <f>IF(P22="Choose a Selection",0,(INDEX($D$73:$J$80,MATCH($P$17,C73:C80,0),MATCH($P$16,$D$56:$J$56,0),1)))</f>
        <v>0</v>
      </c>
    </row>
    <row r="23" spans="1:17" s="936" customFormat="1" ht="15.75" thickBot="1">
      <c r="A23" s="1082"/>
      <c r="B23" s="1318">
        <f>margins!AL12</f>
        <v>12.25</v>
      </c>
      <c r="C23" s="1341">
        <v>109.77500000000001</v>
      </c>
      <c r="D23"/>
      <c r="E23" s="1333" t="s">
        <v>86</v>
      </c>
      <c r="F23" s="1137">
        <v>-0.65</v>
      </c>
      <c r="G23"/>
      <c r="L23" s="1218"/>
      <c r="M23" s="1311"/>
      <c r="O23" s="581" t="s">
        <v>279</v>
      </c>
      <c r="P23" s="432" t="s">
        <v>191</v>
      </c>
      <c r="Q23" s="436">
        <f>IF(P23="Choose a Selection",0,(INDEX($D$57:$J$107,MATCH(P23,$C$57:$C$107,0),MATCH($P$16,$D$56:$J$56,0),1)))</f>
        <v>0</v>
      </c>
    </row>
    <row r="24" spans="1:17" s="936" customFormat="1" ht="14.25" customHeight="1">
      <c r="A24" s="1082"/>
      <c r="B24" s="1318">
        <f>margins!AL13</f>
        <v>12.125</v>
      </c>
      <c r="C24" s="1341">
        <v>109.65</v>
      </c>
      <c r="D24"/>
      <c r="E24" s="936" t="s">
        <v>299</v>
      </c>
      <c r="F24"/>
      <c r="G24"/>
      <c r="L24" s="1218"/>
      <c r="M24" s="1316"/>
      <c r="O24" s="581" t="s">
        <v>45</v>
      </c>
      <c r="P24" s="432" t="s">
        <v>191</v>
      </c>
      <c r="Q24" s="436">
        <f>IF(P24="Choose a Selection",0,(INDEX($D$57:$J$107,MATCH(P24,$C$57:$C$107,0),MATCH($P$16,$D$56:$J$56,0),1)))</f>
        <v>0</v>
      </c>
    </row>
    <row r="25" spans="1:17" s="936" customFormat="1">
      <c r="A25" s="1082"/>
      <c r="B25" s="1318">
        <f>margins!AL14</f>
        <v>12</v>
      </c>
      <c r="C25" s="1341">
        <v>109.52500000000001</v>
      </c>
      <c r="D25"/>
      <c r="E25"/>
      <c r="H25"/>
      <c r="I25"/>
      <c r="J25" s="1218"/>
      <c r="K25" s="1218"/>
      <c r="L25" s="1218"/>
      <c r="M25" s="1316"/>
      <c r="O25" s="581" t="s">
        <v>62</v>
      </c>
      <c r="P25" s="432" t="s">
        <v>191</v>
      </c>
      <c r="Q25" s="436">
        <f>IF(P25="Choose a Selection",0,(INDEX($D$57:$J$107,MATCH(P25,$C$57:$C$107,0),MATCH($P$16,$D$56:$J$56,0),1)))</f>
        <v>0</v>
      </c>
    </row>
    <row r="26" spans="1:17" s="936" customFormat="1" ht="14.25" customHeight="1">
      <c r="A26" s="1082"/>
      <c r="B26" s="1318">
        <f>margins!AL15</f>
        <v>11.875</v>
      </c>
      <c r="C26" s="1341">
        <v>109.4</v>
      </c>
      <c r="D26"/>
      <c r="E26"/>
      <c r="G26"/>
      <c r="H26"/>
      <c r="I26"/>
      <c r="J26"/>
      <c r="K26"/>
      <c r="L26"/>
      <c r="M26" s="1316"/>
      <c r="O26" s="581" t="s">
        <v>205</v>
      </c>
      <c r="P26" s="432" t="s">
        <v>191</v>
      </c>
      <c r="Q26" s="436">
        <f>IF(P26=15,0, IF(P26=30, F16, 0))</f>
        <v>0</v>
      </c>
    </row>
    <row r="27" spans="1:17" s="936" customFormat="1" ht="15.75" thickBot="1">
      <c r="A27" s="1082"/>
      <c r="B27" s="1318">
        <f>margins!AL16</f>
        <v>11.75</v>
      </c>
      <c r="C27" s="1341">
        <v>109.27500000000001</v>
      </c>
      <c r="D27"/>
      <c r="E27"/>
      <c r="G27"/>
      <c r="H27"/>
      <c r="I27"/>
      <c r="J27"/>
      <c r="K27"/>
      <c r="L27"/>
      <c r="M27" s="1316"/>
      <c r="O27" s="583" t="s">
        <v>206</v>
      </c>
      <c r="P27" s="433"/>
      <c r="Q27" s="437">
        <f>SUM(Q18:Q26)</f>
        <v>0</v>
      </c>
    </row>
    <row r="28" spans="1:17" s="936" customFormat="1" ht="14.25" customHeight="1" thickBot="1">
      <c r="A28" s="1082"/>
      <c r="B28" s="1318">
        <f>margins!AL17</f>
        <v>11.625</v>
      </c>
      <c r="C28" s="1341">
        <v>109.15</v>
      </c>
      <c r="D28"/>
      <c r="E28"/>
      <c r="G28"/>
      <c r="H28"/>
      <c r="I28"/>
      <c r="J28"/>
      <c r="K28"/>
      <c r="L28"/>
      <c r="M28" s="1316"/>
      <c r="O28" s="420"/>
      <c r="P28" s="421"/>
      <c r="Q28" s="430"/>
    </row>
    <row r="29" spans="1:17" s="936" customFormat="1" ht="15.75" thickBot="1">
      <c r="A29" s="1082"/>
      <c r="B29" s="1318">
        <f>margins!AL18</f>
        <v>11.5</v>
      </c>
      <c r="C29" s="1341">
        <v>109.02500000000001</v>
      </c>
      <c r="D29"/>
      <c r="E29"/>
      <c r="G29"/>
      <c r="H29"/>
      <c r="I29"/>
      <c r="J29"/>
      <c r="K29"/>
      <c r="L29"/>
      <c r="M29" s="1316"/>
      <c r="O29" s="422" t="s">
        <v>207</v>
      </c>
      <c r="P29" s="423"/>
      <c r="Q29" s="584" t="e">
        <f>IF(ISNUMBER(MATCH("NA", Q18:Q26, 0)), "NA", MIN(F14,(Q15+Q27)))</f>
        <v>#N/A</v>
      </c>
    </row>
    <row r="30" spans="1:17" s="936" customFormat="1" ht="15.75" thickBot="1">
      <c r="A30" s="1082"/>
      <c r="B30" s="1318">
        <f>margins!AL19</f>
        <v>11.375</v>
      </c>
      <c r="C30" s="1341">
        <v>108.77500000000001</v>
      </c>
      <c r="D30"/>
      <c r="E30"/>
      <c r="G30"/>
      <c r="H30"/>
      <c r="J30"/>
      <c r="K30"/>
      <c r="L30"/>
      <c r="M30" s="1312"/>
      <c r="O30" s="417"/>
      <c r="P30" s="417"/>
      <c r="Q30" s="417"/>
    </row>
    <row r="31" spans="1:17" s="936" customFormat="1" ht="15.75" thickBot="1">
      <c r="A31" s="1082"/>
      <c r="B31" s="1318">
        <f>margins!AL20</f>
        <v>11.25</v>
      </c>
      <c r="C31" s="1341">
        <v>108.52500000000001</v>
      </c>
      <c r="D31"/>
      <c r="E31"/>
      <c r="G31" s="1081"/>
      <c r="H31" s="1080"/>
      <c r="J31"/>
      <c r="K31"/>
      <c r="L31"/>
      <c r="M31" s="1312"/>
      <c r="O31" s="746" t="s">
        <v>447</v>
      </c>
      <c r="P31" s="747"/>
      <c r="Q31" s="748"/>
    </row>
    <row r="32" spans="1:17" s="936" customFormat="1">
      <c r="A32" s="1082"/>
      <c r="B32" s="1318">
        <f>margins!AL21</f>
        <v>11.125</v>
      </c>
      <c r="C32" s="1341">
        <v>108.27500000000001</v>
      </c>
      <c r="D32"/>
      <c r="E32"/>
      <c r="M32" s="940"/>
    </row>
    <row r="33" spans="1:13" s="936" customFormat="1">
      <c r="A33" s="1082"/>
      <c r="B33" s="1318">
        <f>margins!AL22</f>
        <v>11</v>
      </c>
      <c r="C33" s="1341">
        <v>108.02500000000001</v>
      </c>
      <c r="D33"/>
      <c r="E33"/>
      <c r="M33" s="940"/>
    </row>
    <row r="34" spans="1:13" s="936" customFormat="1">
      <c r="A34" s="1082"/>
      <c r="B34" s="1318">
        <f>margins!AL23</f>
        <v>10.875</v>
      </c>
      <c r="C34" s="1341">
        <v>107.77500000000001</v>
      </c>
      <c r="D34"/>
      <c r="E34"/>
      <c r="M34" s="940"/>
    </row>
    <row r="35" spans="1:13" s="936" customFormat="1">
      <c r="A35" s="1082"/>
      <c r="B35" s="1318">
        <f>margins!AL24</f>
        <v>10.75</v>
      </c>
      <c r="C35" s="1341">
        <v>107.52500000000001</v>
      </c>
      <c r="D35"/>
      <c r="E35"/>
      <c r="M35" s="940"/>
    </row>
    <row r="36" spans="1:13" s="936" customFormat="1">
      <c r="A36" s="1082"/>
      <c r="B36" s="1318">
        <f>margins!AL25</f>
        <v>10.625</v>
      </c>
      <c r="C36" s="1341" t="e">
        <v>#N/A</v>
      </c>
      <c r="D36"/>
      <c r="E36"/>
      <c r="M36" s="940"/>
    </row>
    <row r="37" spans="1:13" s="936" customFormat="1">
      <c r="A37" s="1082"/>
      <c r="B37" s="1318">
        <f>margins!AL26</f>
        <v>10.5</v>
      </c>
      <c r="C37" s="1341" t="e">
        <v>#N/A</v>
      </c>
      <c r="D37"/>
      <c r="E37"/>
      <c r="M37" s="940"/>
    </row>
    <row r="38" spans="1:13" s="936" customFormat="1">
      <c r="A38" s="1082"/>
      <c r="B38" s="1318">
        <f>margins!AL27</f>
        <v>10.375</v>
      </c>
      <c r="C38" s="1341" t="e">
        <v>#N/A</v>
      </c>
      <c r="D38"/>
      <c r="E38"/>
      <c r="M38" s="940"/>
    </row>
    <row r="39" spans="1:13" s="936" customFormat="1">
      <c r="A39" s="1082"/>
      <c r="B39" s="1318">
        <f>margins!AL28</f>
        <v>10.25</v>
      </c>
      <c r="C39" s="1341" t="e">
        <v>#N/A</v>
      </c>
      <c r="D39"/>
      <c r="E39"/>
      <c r="M39" s="940"/>
    </row>
    <row r="40" spans="1:13" s="936" customFormat="1">
      <c r="A40" s="1082"/>
      <c r="B40" s="1318">
        <f>margins!AL29</f>
        <v>10.125</v>
      </c>
      <c r="C40" s="1341" t="e">
        <v>#N/A</v>
      </c>
      <c r="D40"/>
      <c r="E40"/>
      <c r="M40" s="940"/>
    </row>
    <row r="41" spans="1:13" s="936" customFormat="1">
      <c r="A41" s="1082"/>
      <c r="B41" s="1318">
        <f>margins!AL30</f>
        <v>10</v>
      </c>
      <c r="C41" s="1341" t="e">
        <v>#N/A</v>
      </c>
      <c r="D41"/>
      <c r="E41"/>
      <c r="F41"/>
      <c r="G41"/>
      <c r="M41" s="940"/>
    </row>
    <row r="42" spans="1:13" s="936" customFormat="1">
      <c r="A42" s="1082"/>
      <c r="B42" s="1318">
        <f>margins!AL31</f>
        <v>9.875</v>
      </c>
      <c r="C42" s="1341" t="e">
        <v>#N/A</v>
      </c>
      <c r="D42"/>
      <c r="E42"/>
      <c r="F42"/>
      <c r="G42"/>
      <c r="M42" s="940"/>
    </row>
    <row r="43" spans="1:13" s="936" customFormat="1">
      <c r="A43" s="1082"/>
      <c r="B43" s="1318">
        <f>margins!AL32</f>
        <v>9.75</v>
      </c>
      <c r="C43" s="1341" t="e">
        <v>#N/A</v>
      </c>
      <c r="D43"/>
      <c r="F43"/>
      <c r="G43"/>
      <c r="M43" s="940"/>
    </row>
    <row r="44" spans="1:13" s="936" customFormat="1">
      <c r="A44" s="1082"/>
      <c r="B44" s="1318">
        <f>margins!AL33</f>
        <v>9.625</v>
      </c>
      <c r="C44" s="1341" t="e">
        <v>#N/A</v>
      </c>
      <c r="D44"/>
      <c r="F44"/>
      <c r="G44"/>
      <c r="H44" s="1080"/>
      <c r="M44" s="940"/>
    </row>
    <row r="45" spans="1:13" s="936" customFormat="1">
      <c r="A45" s="1082"/>
      <c r="B45" s="1318">
        <f>margins!AL34</f>
        <v>9.5</v>
      </c>
      <c r="C45" s="1341" t="e">
        <v>#N/A</v>
      </c>
      <c r="D45"/>
      <c r="F45"/>
      <c r="G45"/>
      <c r="M45" s="940"/>
    </row>
    <row r="46" spans="1:13" s="936" customFormat="1">
      <c r="A46" s="1082"/>
      <c r="B46" s="1318">
        <f>margins!AL35</f>
        <v>9.375</v>
      </c>
      <c r="C46" s="1341" t="e">
        <v>#N/A</v>
      </c>
      <c r="D46"/>
      <c r="F46"/>
      <c r="G46"/>
      <c r="M46" s="940"/>
    </row>
    <row r="47" spans="1:13" s="936" customFormat="1">
      <c r="A47" s="1082"/>
      <c r="B47" s="1318">
        <f>margins!AL36</f>
        <v>9.25</v>
      </c>
      <c r="C47" s="1341" t="e">
        <v>#N/A</v>
      </c>
      <c r="D47"/>
      <c r="M47" s="940"/>
    </row>
    <row r="48" spans="1:13" s="936" customFormat="1">
      <c r="A48" s="1082"/>
      <c r="B48" s="1318">
        <f>margins!AL37</f>
        <v>9.125</v>
      </c>
      <c r="C48" s="1341" t="e">
        <v>#N/A</v>
      </c>
      <c r="D48"/>
      <c r="M48" s="940"/>
    </row>
    <row r="49" spans="1:13" s="936" customFormat="1">
      <c r="A49" s="1082"/>
      <c r="B49" s="1318">
        <f>margins!AL38</f>
        <v>9</v>
      </c>
      <c r="C49" s="1341" t="e">
        <v>#N/A</v>
      </c>
      <c r="D49"/>
      <c r="M49" s="940"/>
    </row>
    <row r="50" spans="1:13" s="936" customFormat="1">
      <c r="A50" s="1082"/>
      <c r="B50" s="1318">
        <f>margins!AL39</f>
        <v>8.875</v>
      </c>
      <c r="C50" s="1341" t="e">
        <v>#N/A</v>
      </c>
      <c r="D50"/>
      <c r="M50" s="940"/>
    </row>
    <row r="51" spans="1:13" s="936" customFormat="1">
      <c r="A51" s="1082"/>
      <c r="B51" s="1318">
        <f>margins!AL40</f>
        <v>8.75</v>
      </c>
      <c r="C51" s="1341" t="e">
        <v>#N/A</v>
      </c>
      <c r="D51"/>
      <c r="K51" s="1211"/>
      <c r="L51" s="1211"/>
      <c r="M51" s="1313"/>
    </row>
    <row r="52" spans="1:13" s="936" customFormat="1">
      <c r="A52" s="1082"/>
      <c r="B52" s="1318">
        <f>margins!AL41</f>
        <v>8.625</v>
      </c>
      <c r="C52" s="1341" t="e">
        <v>#N/A</v>
      </c>
      <c r="D52"/>
      <c r="K52" s="1128"/>
      <c r="L52" s="1128"/>
      <c r="M52" s="1310"/>
    </row>
    <row r="53" spans="1:13" s="936" customFormat="1" ht="15.75" thickBot="1">
      <c r="A53" s="1082"/>
      <c r="B53" s="1328">
        <f>margins!AL42</f>
        <v>8.5</v>
      </c>
      <c r="C53" s="1342" t="e">
        <v>#N/A</v>
      </c>
      <c r="D53"/>
      <c r="M53" s="940"/>
    </row>
    <row r="54" spans="1:13" s="936" customFormat="1" ht="15.75" thickBot="1">
      <c r="A54" s="1082"/>
      <c r="C54" s="1150"/>
      <c r="D54" s="1150"/>
      <c r="E54" s="1150"/>
      <c r="F54" s="1158"/>
      <c r="G54" s="1203"/>
      <c r="H54" s="1158"/>
      <c r="I54" s="1158"/>
      <c r="J54" s="1203"/>
      <c r="K54" s="1203"/>
      <c r="L54" s="1203"/>
      <c r="M54" s="1279"/>
    </row>
    <row r="55" spans="1:13" s="936" customFormat="1" ht="15" customHeight="1" thickBot="1">
      <c r="A55" s="1082"/>
      <c r="B55" s="1081" t="s">
        <v>216</v>
      </c>
      <c r="C55" s="1081"/>
      <c r="D55" s="1736" t="s">
        <v>298</v>
      </c>
      <c r="E55" s="1737"/>
      <c r="F55" s="1737"/>
      <c r="G55" s="1737"/>
      <c r="H55" s="1737"/>
      <c r="I55" s="1737"/>
      <c r="J55" s="1738"/>
      <c r="K55"/>
      <c r="L55"/>
      <c r="M55" s="1279"/>
    </row>
    <row r="56" spans="1:13" s="936" customFormat="1" ht="15.75" thickBot="1">
      <c r="A56" s="1082"/>
      <c r="B56" s="1286"/>
      <c r="C56" s="1294" t="s">
        <v>191</v>
      </c>
      <c r="D56" s="1101" t="s">
        <v>15</v>
      </c>
      <c r="E56" s="1271" t="s">
        <v>16</v>
      </c>
      <c r="F56" s="1271" t="s">
        <v>17</v>
      </c>
      <c r="G56" s="1271" t="s">
        <v>18</v>
      </c>
      <c r="H56" s="1271" t="s">
        <v>19</v>
      </c>
      <c r="I56" s="1271" t="s">
        <v>20</v>
      </c>
      <c r="J56" s="1285" t="s">
        <v>21</v>
      </c>
      <c r="K56"/>
      <c r="L56"/>
      <c r="M56" s="1279"/>
    </row>
    <row r="57" spans="1:13" s="936" customFormat="1">
      <c r="A57" s="1082"/>
      <c r="B57" s="1213"/>
      <c r="C57" s="1272" t="s">
        <v>377</v>
      </c>
      <c r="D57" s="1092">
        <v>1.875</v>
      </c>
      <c r="E57" s="1091">
        <v>1.875</v>
      </c>
      <c r="F57" s="1091">
        <v>1.625</v>
      </c>
      <c r="G57" s="1091">
        <v>1.375</v>
      </c>
      <c r="H57" s="1091">
        <v>1.125</v>
      </c>
      <c r="I57" s="1091">
        <v>0.25</v>
      </c>
      <c r="J57" s="1090">
        <v>-0.625</v>
      </c>
      <c r="K57"/>
      <c r="L57"/>
      <c r="M57" s="1279"/>
    </row>
    <row r="58" spans="1:13" s="936" customFormat="1">
      <c r="A58" s="1082"/>
      <c r="B58" s="1343"/>
      <c r="C58" s="1273" t="s">
        <v>294</v>
      </c>
      <c r="D58" s="1095">
        <v>1.875</v>
      </c>
      <c r="E58" s="1094">
        <v>1.875</v>
      </c>
      <c r="F58" s="1094">
        <v>1.625</v>
      </c>
      <c r="G58" s="1094">
        <v>1.375</v>
      </c>
      <c r="H58" s="1094">
        <v>1.125</v>
      </c>
      <c r="I58" s="1094">
        <v>0.125</v>
      </c>
      <c r="J58" s="1093">
        <v>-0.75</v>
      </c>
      <c r="K58"/>
      <c r="L58"/>
      <c r="M58" s="1279"/>
    </row>
    <row r="59" spans="1:13" s="936" customFormat="1">
      <c r="A59" s="1082"/>
      <c r="B59" s="1280"/>
      <c r="C59" s="1273" t="s">
        <v>293</v>
      </c>
      <c r="D59" s="1095">
        <v>1.375</v>
      </c>
      <c r="E59" s="1094">
        <v>1.375</v>
      </c>
      <c r="F59" s="1094">
        <v>1.125</v>
      </c>
      <c r="G59" s="1094">
        <v>0.875</v>
      </c>
      <c r="H59" s="1094">
        <v>0.625</v>
      </c>
      <c r="I59" s="1094">
        <v>-0.5</v>
      </c>
      <c r="J59" s="1093">
        <v>-1.5</v>
      </c>
      <c r="K59"/>
      <c r="L59"/>
      <c r="M59" s="1279"/>
    </row>
    <row r="60" spans="1:13" s="936" customFormat="1">
      <c r="A60" s="1082"/>
      <c r="B60" s="1273" t="s">
        <v>190</v>
      </c>
      <c r="C60" s="1273" t="s">
        <v>292</v>
      </c>
      <c r="D60" s="1095">
        <v>1</v>
      </c>
      <c r="E60" s="1094">
        <v>1</v>
      </c>
      <c r="F60" s="1094">
        <v>0.625</v>
      </c>
      <c r="G60" s="1094">
        <v>0.375</v>
      </c>
      <c r="H60" s="1094">
        <v>0.125</v>
      </c>
      <c r="I60" s="1094">
        <v>-1.125</v>
      </c>
      <c r="J60" s="1093">
        <v>-2.75</v>
      </c>
      <c r="K60"/>
      <c r="L60"/>
      <c r="M60" s="1279"/>
    </row>
    <row r="61" spans="1:13" s="936" customFormat="1">
      <c r="A61" s="1082"/>
      <c r="B61" s="1273" t="s">
        <v>312</v>
      </c>
      <c r="C61" s="1273" t="s">
        <v>291</v>
      </c>
      <c r="D61" s="1095">
        <v>0.125</v>
      </c>
      <c r="E61" s="1094">
        <v>0.125</v>
      </c>
      <c r="F61" s="1094">
        <v>-0.375</v>
      </c>
      <c r="G61" s="1094">
        <v>-0.75</v>
      </c>
      <c r="H61" s="1094">
        <v>-1</v>
      </c>
      <c r="I61" s="1094">
        <v>-2</v>
      </c>
      <c r="J61" s="1093">
        <v>-4</v>
      </c>
      <c r="K61"/>
      <c r="L61"/>
      <c r="M61" s="1279"/>
    </row>
    <row r="62" spans="1:13" s="936" customFormat="1">
      <c r="A62" s="1082"/>
      <c r="B62" s="1280"/>
      <c r="C62" s="1273" t="s">
        <v>290</v>
      </c>
      <c r="D62" s="1095">
        <v>-0.75</v>
      </c>
      <c r="E62" s="1094">
        <v>-0.75</v>
      </c>
      <c r="F62" s="1094">
        <v>-1.375</v>
      </c>
      <c r="G62" s="1094">
        <v>-1.875</v>
      </c>
      <c r="H62" s="1094">
        <v>-2.375</v>
      </c>
      <c r="I62" s="1094">
        <v>-3.125</v>
      </c>
      <c r="J62" s="1093">
        <v>-5.5</v>
      </c>
      <c r="K62"/>
      <c r="L62"/>
      <c r="M62" s="1279"/>
    </row>
    <row r="63" spans="1:13" s="936" customFormat="1">
      <c r="A63" s="1082"/>
      <c r="B63" s="1280"/>
      <c r="C63" s="1273" t="s">
        <v>289</v>
      </c>
      <c r="D63" s="1173">
        <v>-3</v>
      </c>
      <c r="E63" s="1172">
        <v>-3</v>
      </c>
      <c r="F63" s="1172">
        <v>-3.75</v>
      </c>
      <c r="G63" s="1172">
        <v>-4.125</v>
      </c>
      <c r="H63" s="1172">
        <v>-4.75</v>
      </c>
      <c r="I63" s="1172">
        <v>-5.75</v>
      </c>
      <c r="J63" s="1171" t="s">
        <v>14</v>
      </c>
      <c r="K63"/>
      <c r="L63"/>
      <c r="M63" s="1279"/>
    </row>
    <row r="64" spans="1:13" s="936" customFormat="1" ht="15.75" thickBot="1">
      <c r="A64" s="1082"/>
      <c r="B64" s="1281"/>
      <c r="C64" s="1089" t="s">
        <v>288</v>
      </c>
      <c r="D64" s="1157">
        <v>-4.25</v>
      </c>
      <c r="E64" s="1156">
        <v>-4.375</v>
      </c>
      <c r="F64" s="1156">
        <v>-4.875</v>
      </c>
      <c r="G64" s="1156">
        <v>-5.5</v>
      </c>
      <c r="H64" s="1156">
        <v>-6</v>
      </c>
      <c r="I64" s="1156" t="s">
        <v>14</v>
      </c>
      <c r="J64" s="1155" t="s">
        <v>14</v>
      </c>
      <c r="K64"/>
      <c r="L64"/>
      <c r="M64" s="1279"/>
    </row>
    <row r="65" spans="1:13" s="936" customFormat="1">
      <c r="A65" s="1082"/>
      <c r="B65" s="1213"/>
      <c r="C65" s="1273" t="s">
        <v>377</v>
      </c>
      <c r="D65" s="1092">
        <v>0.875</v>
      </c>
      <c r="E65" s="1091">
        <v>0.875</v>
      </c>
      <c r="F65" s="1091">
        <v>0.625</v>
      </c>
      <c r="G65" s="1091">
        <v>0.25</v>
      </c>
      <c r="H65" s="1091">
        <v>0</v>
      </c>
      <c r="I65" s="1091">
        <v>-1</v>
      </c>
      <c r="J65" s="1090">
        <v>-1.875</v>
      </c>
      <c r="K65"/>
      <c r="L65"/>
      <c r="M65" s="1279"/>
    </row>
    <row r="66" spans="1:13" s="936" customFormat="1">
      <c r="A66" s="1082"/>
      <c r="B66" s="1273"/>
      <c r="C66" s="1273" t="s">
        <v>294</v>
      </c>
      <c r="D66" s="1095">
        <v>0.875</v>
      </c>
      <c r="E66" s="1094">
        <v>0.875</v>
      </c>
      <c r="F66" s="1094">
        <v>0.625</v>
      </c>
      <c r="G66" s="1094">
        <v>0.25</v>
      </c>
      <c r="H66" s="1094">
        <v>0</v>
      </c>
      <c r="I66" s="1094">
        <v>-1.125</v>
      </c>
      <c r="J66" s="1093">
        <v>-2</v>
      </c>
      <c r="K66"/>
      <c r="L66"/>
      <c r="M66" s="1279"/>
    </row>
    <row r="67" spans="1:13" s="936" customFormat="1">
      <c r="A67" s="1082"/>
      <c r="B67" s="1345"/>
      <c r="C67" s="1273" t="s">
        <v>293</v>
      </c>
      <c r="D67" s="1095">
        <v>0.375</v>
      </c>
      <c r="E67" s="1094">
        <v>0.375</v>
      </c>
      <c r="F67" s="1094">
        <v>0.125</v>
      </c>
      <c r="G67" s="1094">
        <v>-0.25</v>
      </c>
      <c r="H67" s="1094">
        <v>-0.5</v>
      </c>
      <c r="I67" s="1094">
        <v>-1.75</v>
      </c>
      <c r="J67" s="1093">
        <v>-2.75</v>
      </c>
      <c r="K67"/>
      <c r="L67"/>
      <c r="M67" s="1279"/>
    </row>
    <row r="68" spans="1:13" s="936" customFormat="1" ht="15" customHeight="1">
      <c r="A68" s="1082"/>
      <c r="B68" s="1337" t="s">
        <v>693</v>
      </c>
      <c r="C68" s="1273" t="s">
        <v>292</v>
      </c>
      <c r="D68" s="1095">
        <v>0</v>
      </c>
      <c r="E68" s="1094">
        <v>0</v>
      </c>
      <c r="F68" s="1094">
        <v>-0.375</v>
      </c>
      <c r="G68" s="1094">
        <v>-0.75</v>
      </c>
      <c r="H68" s="1094">
        <v>-1</v>
      </c>
      <c r="I68" s="1094">
        <v>-2.375</v>
      </c>
      <c r="J68" s="1093">
        <v>-4</v>
      </c>
      <c r="K68"/>
      <c r="L68"/>
      <c r="M68" s="1279"/>
    </row>
    <row r="69" spans="1:13" s="936" customFormat="1">
      <c r="A69" s="1082"/>
      <c r="B69" s="1273">
        <v>1099</v>
      </c>
      <c r="C69" s="1273" t="s">
        <v>291</v>
      </c>
      <c r="D69" s="1095">
        <v>-0.625</v>
      </c>
      <c r="E69" s="1094">
        <v>-0.625</v>
      </c>
      <c r="F69" s="1094">
        <v>-1.125</v>
      </c>
      <c r="G69" s="1094">
        <v>-1.625</v>
      </c>
      <c r="H69" s="1094">
        <v>-1.875</v>
      </c>
      <c r="I69" s="1094">
        <v>-3</v>
      </c>
      <c r="J69" s="1093">
        <v>-5.125</v>
      </c>
      <c r="K69"/>
      <c r="L69"/>
      <c r="M69" s="1279"/>
    </row>
    <row r="70" spans="1:13" s="936" customFormat="1">
      <c r="A70" s="1082"/>
      <c r="B70" s="1273"/>
      <c r="C70" s="1273" t="s">
        <v>290</v>
      </c>
      <c r="D70" s="1095">
        <v>-1.625</v>
      </c>
      <c r="E70" s="1094">
        <v>-1.625</v>
      </c>
      <c r="F70" s="1094">
        <v>-2.25</v>
      </c>
      <c r="G70" s="1094">
        <v>-2.875</v>
      </c>
      <c r="H70" s="1094">
        <v>-3.375</v>
      </c>
      <c r="I70" s="1094">
        <v>-4.25</v>
      </c>
      <c r="J70" s="1093" t="s">
        <v>14</v>
      </c>
      <c r="K70"/>
      <c r="L70"/>
      <c r="M70" s="1279"/>
    </row>
    <row r="71" spans="1:13" s="936" customFormat="1">
      <c r="A71" s="1082"/>
      <c r="B71" s="1273"/>
      <c r="C71" s="1273" t="s">
        <v>289</v>
      </c>
      <c r="D71" s="1095">
        <v>-4</v>
      </c>
      <c r="E71" s="1094">
        <v>-4</v>
      </c>
      <c r="F71" s="1094">
        <v>-4.75</v>
      </c>
      <c r="G71" s="1094">
        <v>-5.25</v>
      </c>
      <c r="H71" s="1094">
        <v>-5.875</v>
      </c>
      <c r="I71" s="1094" t="s">
        <v>14</v>
      </c>
      <c r="J71" s="1093" t="s">
        <v>14</v>
      </c>
      <c r="K71"/>
      <c r="L71"/>
      <c r="M71" s="1279"/>
    </row>
    <row r="72" spans="1:13" s="936" customFormat="1" ht="15.75" thickBot="1">
      <c r="A72" s="1082"/>
      <c r="B72" s="1281"/>
      <c r="C72" s="1089" t="s">
        <v>288</v>
      </c>
      <c r="D72" s="1157">
        <v>-5.75</v>
      </c>
      <c r="E72" s="1156">
        <v>-5.875</v>
      </c>
      <c r="F72" s="1156">
        <v>-6.375</v>
      </c>
      <c r="G72" s="1156" t="s">
        <v>14</v>
      </c>
      <c r="H72" s="1156" t="s">
        <v>14</v>
      </c>
      <c r="I72" s="1156" t="s">
        <v>14</v>
      </c>
      <c r="J72" s="1155" t="s">
        <v>14</v>
      </c>
      <c r="K72"/>
      <c r="L72"/>
      <c r="M72" s="1279"/>
    </row>
    <row r="73" spans="1:13" s="936" customFormat="1">
      <c r="A73" s="1082"/>
      <c r="B73" s="1213"/>
      <c r="C73" s="1272" t="s">
        <v>377</v>
      </c>
      <c r="D73" s="1092">
        <v>-0.5</v>
      </c>
      <c r="E73" s="1091">
        <v>-0.5</v>
      </c>
      <c r="F73" s="1091">
        <v>-0.75</v>
      </c>
      <c r="G73" s="1091">
        <v>-1.375</v>
      </c>
      <c r="H73" s="1091">
        <v>-1.625</v>
      </c>
      <c r="I73" s="1091">
        <v>-2.75</v>
      </c>
      <c r="J73" s="1090">
        <v>-3.75</v>
      </c>
      <c r="K73"/>
      <c r="L73"/>
      <c r="M73" s="1279"/>
    </row>
    <row r="74" spans="1:13" s="936" customFormat="1">
      <c r="A74" s="1082"/>
      <c r="B74" s="1280"/>
      <c r="C74" s="1273" t="s">
        <v>294</v>
      </c>
      <c r="D74" s="1095">
        <v>-0.5</v>
      </c>
      <c r="E74" s="1094">
        <v>-0.5</v>
      </c>
      <c r="F74" s="1094">
        <v>-0.75</v>
      </c>
      <c r="G74" s="1094">
        <v>-1.375</v>
      </c>
      <c r="H74" s="1094">
        <v>-1.625</v>
      </c>
      <c r="I74" s="1094">
        <v>-2.875</v>
      </c>
      <c r="J74" s="1093">
        <v>-4</v>
      </c>
      <c r="K74"/>
      <c r="L74"/>
      <c r="M74" s="1279"/>
    </row>
    <row r="75" spans="1:13" s="936" customFormat="1">
      <c r="A75" s="1082"/>
      <c r="B75" s="1280"/>
      <c r="C75" s="1273" t="s">
        <v>293</v>
      </c>
      <c r="D75" s="1095">
        <v>-1</v>
      </c>
      <c r="E75" s="1094">
        <v>-1</v>
      </c>
      <c r="F75" s="1094">
        <v>-1.25</v>
      </c>
      <c r="G75" s="1094">
        <v>-1.875</v>
      </c>
      <c r="H75" s="1094">
        <v>-2.125</v>
      </c>
      <c r="I75" s="1094">
        <v>-3.5</v>
      </c>
      <c r="J75" s="1093">
        <v>-4.75</v>
      </c>
      <c r="K75"/>
      <c r="L75"/>
      <c r="M75" s="1279"/>
    </row>
    <row r="76" spans="1:13" s="936" customFormat="1">
      <c r="A76" s="1082"/>
      <c r="B76" s="1273" t="s">
        <v>514</v>
      </c>
      <c r="C76" s="1273" t="s">
        <v>292</v>
      </c>
      <c r="D76" s="1095">
        <v>-1.375</v>
      </c>
      <c r="E76" s="1094">
        <v>-1.375</v>
      </c>
      <c r="F76" s="1094">
        <v>-1.75</v>
      </c>
      <c r="G76" s="1094">
        <v>-2.375</v>
      </c>
      <c r="H76" s="1094">
        <v>-2.625</v>
      </c>
      <c r="I76" s="1094">
        <v>-4.125</v>
      </c>
      <c r="J76" s="1093">
        <v>-6</v>
      </c>
      <c r="K76"/>
      <c r="L76"/>
      <c r="M76" s="1279"/>
    </row>
    <row r="77" spans="1:13" s="936" customFormat="1">
      <c r="A77" s="1082"/>
      <c r="B77" s="1273" t="s">
        <v>88</v>
      </c>
      <c r="C77" s="1273" t="s">
        <v>291</v>
      </c>
      <c r="D77" s="1095">
        <v>-2.125</v>
      </c>
      <c r="E77" s="1094">
        <v>-2.125</v>
      </c>
      <c r="F77" s="1094">
        <v>-2.625</v>
      </c>
      <c r="G77" s="1094">
        <v>-3.375</v>
      </c>
      <c r="H77" s="1094">
        <v>-3.625</v>
      </c>
      <c r="I77" s="1094">
        <v>-4.875</v>
      </c>
      <c r="J77" s="1093">
        <v>-7.25</v>
      </c>
      <c r="K77"/>
      <c r="L77"/>
      <c r="M77" s="1279"/>
    </row>
    <row r="78" spans="1:13" s="936" customFormat="1">
      <c r="A78" s="1082"/>
      <c r="B78" s="1273"/>
      <c r="C78" s="1273" t="s">
        <v>290</v>
      </c>
      <c r="D78" s="1095">
        <v>-3.375</v>
      </c>
      <c r="E78" s="1094">
        <v>-3.375</v>
      </c>
      <c r="F78" s="1094">
        <v>-4</v>
      </c>
      <c r="G78" s="1094">
        <v>-4.75</v>
      </c>
      <c r="H78" s="1094">
        <v>-5.25</v>
      </c>
      <c r="I78" s="1094" t="s">
        <v>14</v>
      </c>
      <c r="J78" s="1093" t="s">
        <v>14</v>
      </c>
      <c r="K78"/>
      <c r="L78"/>
      <c r="M78" s="1279"/>
    </row>
    <row r="79" spans="1:13" s="936" customFormat="1">
      <c r="A79" s="1082"/>
      <c r="B79" s="1273"/>
      <c r="C79" s="1273" t="s">
        <v>289</v>
      </c>
      <c r="D79" s="1095">
        <v>-5.75</v>
      </c>
      <c r="E79" s="1094">
        <v>-5.75</v>
      </c>
      <c r="F79" s="1094">
        <v>-6.5</v>
      </c>
      <c r="G79" s="1094">
        <v>-7.125</v>
      </c>
      <c r="H79" s="1094" t="s">
        <v>14</v>
      </c>
      <c r="I79" s="1094" t="s">
        <v>14</v>
      </c>
      <c r="J79" s="1093" t="s">
        <v>14</v>
      </c>
      <c r="K79"/>
      <c r="L79"/>
      <c r="M79" s="1279"/>
    </row>
    <row r="80" spans="1:13" s="936" customFormat="1" ht="15.75" thickBot="1">
      <c r="A80" s="1082"/>
      <c r="B80" s="1089"/>
      <c r="C80" s="1089" t="s">
        <v>288</v>
      </c>
      <c r="D80" s="1088">
        <v>-7.75</v>
      </c>
      <c r="E80" s="1087">
        <v>-7.875</v>
      </c>
      <c r="F80" s="1087">
        <v>-8.375</v>
      </c>
      <c r="G80" s="1087" t="s">
        <v>14</v>
      </c>
      <c r="H80" s="1087" t="s">
        <v>14</v>
      </c>
      <c r="I80" s="1087" t="s">
        <v>14</v>
      </c>
      <c r="J80" s="1086" t="s">
        <v>14</v>
      </c>
      <c r="K80"/>
      <c r="L80"/>
      <c r="M80" s="1279"/>
    </row>
    <row r="81" spans="1:13" s="936" customFormat="1">
      <c r="A81" s="1082"/>
      <c r="B81" s="1273"/>
      <c r="C81" s="1273" t="s">
        <v>286</v>
      </c>
      <c r="D81" s="1302">
        <v>0</v>
      </c>
      <c r="E81" s="1158">
        <v>0</v>
      </c>
      <c r="F81" s="1158">
        <v>0</v>
      </c>
      <c r="G81" s="1158">
        <v>0</v>
      </c>
      <c r="H81" s="1158">
        <v>0</v>
      </c>
      <c r="I81" s="1158">
        <v>0</v>
      </c>
      <c r="J81" s="1279">
        <v>0</v>
      </c>
      <c r="K81"/>
      <c r="L81"/>
      <c r="M81" s="1279"/>
    </row>
    <row r="82" spans="1:13" s="936" customFormat="1">
      <c r="A82" s="1082"/>
      <c r="B82" s="1273" t="s">
        <v>287</v>
      </c>
      <c r="C82" s="1273" t="s">
        <v>285</v>
      </c>
      <c r="D82" s="1302">
        <v>0</v>
      </c>
      <c r="E82" s="1158">
        <v>0</v>
      </c>
      <c r="F82" s="1158">
        <v>0</v>
      </c>
      <c r="G82" s="1158">
        <v>0</v>
      </c>
      <c r="H82" s="1158">
        <v>0</v>
      </c>
      <c r="I82" s="1158">
        <v>0</v>
      </c>
      <c r="J82" s="1279">
        <v>0</v>
      </c>
      <c r="K82"/>
      <c r="L82"/>
      <c r="M82" s="1279"/>
    </row>
    <row r="83" spans="1:13" s="936" customFormat="1" ht="15.75" thickBot="1">
      <c r="A83" s="1082"/>
      <c r="B83" s="1273"/>
      <c r="C83" s="1273" t="s">
        <v>284</v>
      </c>
      <c r="D83" s="1302">
        <v>0</v>
      </c>
      <c r="E83" s="1158">
        <v>0</v>
      </c>
      <c r="F83" s="1158">
        <v>0</v>
      </c>
      <c r="G83" s="1158">
        <v>0</v>
      </c>
      <c r="H83" s="1158">
        <v>0</v>
      </c>
      <c r="I83" s="1158">
        <v>0</v>
      </c>
      <c r="J83" s="1279">
        <v>0</v>
      </c>
      <c r="K83"/>
      <c r="L83"/>
      <c r="M83" s="1279"/>
    </row>
    <row r="84" spans="1:13" s="936" customFormat="1">
      <c r="A84" s="1082"/>
      <c r="B84" s="1772" t="s">
        <v>198</v>
      </c>
      <c r="C84" s="1272" t="s">
        <v>283</v>
      </c>
      <c r="D84" s="1092">
        <v>0.5</v>
      </c>
      <c r="E84" s="1091">
        <v>0.5</v>
      </c>
      <c r="F84" s="1091">
        <v>0.5</v>
      </c>
      <c r="G84" s="1091">
        <v>0.5</v>
      </c>
      <c r="H84" s="1091">
        <v>0.5</v>
      </c>
      <c r="I84" s="1091">
        <v>0.5</v>
      </c>
      <c r="J84" s="1090">
        <v>0.5</v>
      </c>
      <c r="K84"/>
      <c r="L84"/>
      <c r="M84" s="1279"/>
    </row>
    <row r="85" spans="1:13" s="936" customFormat="1">
      <c r="A85" s="1082"/>
      <c r="B85" s="1760"/>
      <c r="C85" s="1273" t="s">
        <v>282</v>
      </c>
      <c r="D85" s="1095">
        <v>0.5</v>
      </c>
      <c r="E85" s="1094">
        <v>0.5</v>
      </c>
      <c r="F85" s="1094">
        <v>0.5</v>
      </c>
      <c r="G85" s="1094">
        <v>0.5</v>
      </c>
      <c r="H85" s="1094">
        <v>0.5</v>
      </c>
      <c r="I85" s="1094">
        <v>0.5</v>
      </c>
      <c r="J85" s="1093">
        <v>0.5</v>
      </c>
      <c r="K85"/>
      <c r="L85"/>
      <c r="M85" s="1279"/>
    </row>
    <row r="86" spans="1:13" s="936" customFormat="1">
      <c r="A86" s="1082"/>
      <c r="B86" s="1760"/>
      <c r="C86" s="1273" t="s">
        <v>281</v>
      </c>
      <c r="D86" s="1095">
        <v>0.375</v>
      </c>
      <c r="E86" s="1094">
        <v>0.375</v>
      </c>
      <c r="F86" s="1094">
        <v>0.375</v>
      </c>
      <c r="G86" s="1094">
        <v>0.375</v>
      </c>
      <c r="H86" s="1094">
        <v>0.375</v>
      </c>
      <c r="I86" s="1094">
        <v>0.375</v>
      </c>
      <c r="J86" s="1093">
        <v>0.375</v>
      </c>
      <c r="K86"/>
      <c r="L86"/>
      <c r="M86" s="1279"/>
    </row>
    <row r="87" spans="1:13" s="936" customFormat="1" ht="15.75" thickBot="1">
      <c r="A87" s="1082"/>
      <c r="B87" s="1773"/>
      <c r="C87" s="1089" t="s">
        <v>280</v>
      </c>
      <c r="D87" s="1157">
        <v>0</v>
      </c>
      <c r="E87" s="1156">
        <v>0</v>
      </c>
      <c r="F87" s="1156">
        <v>0</v>
      </c>
      <c r="G87" s="1156">
        <v>0</v>
      </c>
      <c r="H87" s="1156">
        <v>0</v>
      </c>
      <c r="I87" s="1156">
        <v>0</v>
      </c>
      <c r="J87" s="1155">
        <v>0</v>
      </c>
      <c r="K87"/>
      <c r="L87"/>
      <c r="M87" s="1279"/>
    </row>
    <row r="88" spans="1:13" s="936" customFormat="1">
      <c r="A88" s="1082"/>
      <c r="B88" s="1772" t="s">
        <v>279</v>
      </c>
      <c r="C88" s="1273" t="s">
        <v>694</v>
      </c>
      <c r="D88" s="1154">
        <v>-0.25</v>
      </c>
      <c r="E88" s="1153">
        <v>-0.25</v>
      </c>
      <c r="F88" s="1153">
        <v>-0.25</v>
      </c>
      <c r="G88" s="1153">
        <v>-0.25</v>
      </c>
      <c r="H88" s="1153">
        <v>-0.25</v>
      </c>
      <c r="I88" s="1153">
        <v>-0.25</v>
      </c>
      <c r="J88" s="1152">
        <v>-0.25</v>
      </c>
      <c r="K88"/>
      <c r="L88"/>
      <c r="M88" s="1279"/>
    </row>
    <row r="89" spans="1:13" s="936" customFormat="1">
      <c r="A89" s="1082"/>
      <c r="B89" s="1760"/>
      <c r="C89" s="1273" t="s">
        <v>695</v>
      </c>
      <c r="D89" s="1154">
        <v>0</v>
      </c>
      <c r="E89" s="1153">
        <v>0</v>
      </c>
      <c r="F89" s="1153">
        <v>0</v>
      </c>
      <c r="G89" s="1153">
        <v>0</v>
      </c>
      <c r="H89" s="1153">
        <v>0</v>
      </c>
      <c r="I89" s="1153">
        <v>0</v>
      </c>
      <c r="J89" s="1152">
        <v>0</v>
      </c>
      <c r="K89"/>
      <c r="L89"/>
      <c r="M89" s="1279"/>
    </row>
    <row r="90" spans="1:13" s="936" customFormat="1">
      <c r="A90" s="1082"/>
      <c r="B90" s="1760"/>
      <c r="C90" s="1273" t="s">
        <v>696</v>
      </c>
      <c r="D90" s="1154">
        <v>0</v>
      </c>
      <c r="E90" s="1153">
        <v>0</v>
      </c>
      <c r="F90" s="1153">
        <v>0</v>
      </c>
      <c r="G90" s="1153">
        <v>0</v>
      </c>
      <c r="H90" s="1153">
        <v>0</v>
      </c>
      <c r="I90" s="1153">
        <v>0</v>
      </c>
      <c r="J90" s="1152">
        <v>0</v>
      </c>
      <c r="K90"/>
      <c r="L90"/>
      <c r="M90" s="1279"/>
    </row>
    <row r="91" spans="1:13" s="936" customFormat="1">
      <c r="A91" s="1082"/>
      <c r="B91" s="1760"/>
      <c r="C91" s="1273" t="s">
        <v>697</v>
      </c>
      <c r="D91" s="1154">
        <v>0</v>
      </c>
      <c r="E91" s="1153">
        <v>0</v>
      </c>
      <c r="F91" s="1153">
        <v>0</v>
      </c>
      <c r="G91" s="1153">
        <v>0</v>
      </c>
      <c r="H91" s="1153">
        <v>0</v>
      </c>
      <c r="I91" s="1153">
        <v>0</v>
      </c>
      <c r="J91" s="1152">
        <v>0</v>
      </c>
      <c r="K91"/>
      <c r="L91"/>
      <c r="M91" s="1279"/>
    </row>
    <row r="92" spans="1:13" s="936" customFormat="1">
      <c r="A92" s="1082"/>
      <c r="B92" s="1760"/>
      <c r="C92" s="1273" t="s">
        <v>698</v>
      </c>
      <c r="D92" s="1154">
        <v>0</v>
      </c>
      <c r="E92" s="1153">
        <v>0</v>
      </c>
      <c r="F92" s="1153">
        <v>0</v>
      </c>
      <c r="G92" s="1153">
        <v>0</v>
      </c>
      <c r="H92" s="1153">
        <v>0</v>
      </c>
      <c r="I92" s="1153">
        <v>0</v>
      </c>
      <c r="J92" s="1152">
        <v>0</v>
      </c>
      <c r="K92"/>
      <c r="L92"/>
      <c r="M92" s="1279"/>
    </row>
    <row r="93" spans="1:13" s="936" customFormat="1">
      <c r="A93" s="1082"/>
      <c r="B93" s="1760"/>
      <c r="C93" s="1273" t="s">
        <v>699</v>
      </c>
      <c r="D93" s="1095">
        <v>0</v>
      </c>
      <c r="E93" s="1094">
        <v>0</v>
      </c>
      <c r="F93" s="1094">
        <v>0</v>
      </c>
      <c r="G93" s="1094">
        <v>0</v>
      </c>
      <c r="H93" s="1094">
        <v>0</v>
      </c>
      <c r="I93" s="1094">
        <v>0</v>
      </c>
      <c r="J93" s="1093">
        <v>0</v>
      </c>
      <c r="K93"/>
      <c r="L93"/>
      <c r="M93" s="1279"/>
    </row>
    <row r="94" spans="1:13" s="936" customFormat="1">
      <c r="A94" s="1082"/>
      <c r="B94" s="1760"/>
      <c r="C94" s="1273" t="s">
        <v>700</v>
      </c>
      <c r="D94" s="1095">
        <v>0</v>
      </c>
      <c r="E94" s="1094">
        <v>0</v>
      </c>
      <c r="F94" s="1094">
        <v>0</v>
      </c>
      <c r="G94" s="1094">
        <v>0</v>
      </c>
      <c r="H94" s="1094">
        <v>0</v>
      </c>
      <c r="I94" s="1094">
        <v>0</v>
      </c>
      <c r="J94" s="1093">
        <v>0</v>
      </c>
      <c r="K94"/>
      <c r="L94"/>
      <c r="M94" s="1279"/>
    </row>
    <row r="95" spans="1:13" s="936" customFormat="1">
      <c r="A95" s="1082"/>
      <c r="B95" s="1760"/>
      <c r="C95" s="1273" t="s">
        <v>701</v>
      </c>
      <c r="D95" s="1095">
        <v>0</v>
      </c>
      <c r="E95" s="1094">
        <v>0</v>
      </c>
      <c r="F95" s="1094">
        <v>0</v>
      </c>
      <c r="G95" s="1094">
        <v>0</v>
      </c>
      <c r="H95" s="1094">
        <v>0</v>
      </c>
      <c r="I95" s="1094">
        <v>0</v>
      </c>
      <c r="J95" s="1093">
        <v>0</v>
      </c>
      <c r="K95"/>
      <c r="L95"/>
      <c r="M95" s="1314"/>
    </row>
    <row r="96" spans="1:13" s="936" customFormat="1" ht="15.75" thickBot="1">
      <c r="A96" s="1082"/>
      <c r="B96" s="1773"/>
      <c r="C96" s="1273" t="s">
        <v>702</v>
      </c>
      <c r="D96" s="1173">
        <v>0</v>
      </c>
      <c r="E96" s="1172">
        <v>0</v>
      </c>
      <c r="F96" s="1172">
        <v>0</v>
      </c>
      <c r="G96" s="1172">
        <v>0</v>
      </c>
      <c r="H96" s="1172">
        <v>0</v>
      </c>
      <c r="I96" s="1172">
        <v>0</v>
      </c>
      <c r="J96" s="1171">
        <v>0</v>
      </c>
      <c r="K96"/>
      <c r="L96"/>
      <c r="M96" s="1315"/>
    </row>
    <row r="97" spans="1:13" s="936" customFormat="1">
      <c r="A97" s="1082"/>
      <c r="B97" s="1772" t="s">
        <v>45</v>
      </c>
      <c r="C97" s="1272" t="s">
        <v>703</v>
      </c>
      <c r="D97" s="1092">
        <v>-0.25</v>
      </c>
      <c r="E97" s="1091">
        <v>-0.25</v>
      </c>
      <c r="F97" s="1091">
        <v>-0.25</v>
      </c>
      <c r="G97" s="1091">
        <v>-0.375</v>
      </c>
      <c r="H97" s="1091">
        <v>-0.375</v>
      </c>
      <c r="I97" s="1091">
        <v>-0.375</v>
      </c>
      <c r="J97" s="1090">
        <v>-0.5</v>
      </c>
      <c r="K97"/>
      <c r="L97"/>
      <c r="M97" s="940"/>
    </row>
    <row r="98" spans="1:13" s="936" customFormat="1" ht="15.75" thickBot="1">
      <c r="A98" s="1082"/>
      <c r="B98" s="1773"/>
      <c r="C98" s="1089" t="s">
        <v>376</v>
      </c>
      <c r="D98" s="1157">
        <v>-0.75</v>
      </c>
      <c r="E98" s="1156">
        <v>-0.75</v>
      </c>
      <c r="F98" s="1156">
        <v>-0.75</v>
      </c>
      <c r="G98" s="1156">
        <v>-0.75</v>
      </c>
      <c r="H98" s="1156">
        <v>-0.75</v>
      </c>
      <c r="I98" s="1156">
        <v>-0.75</v>
      </c>
      <c r="J98" s="1155">
        <v>-1</v>
      </c>
      <c r="K98"/>
      <c r="L98"/>
      <c r="M98" s="940"/>
    </row>
    <row r="99" spans="1:13" s="936" customFormat="1">
      <c r="A99" s="1082"/>
      <c r="B99" s="1772" t="s">
        <v>62</v>
      </c>
      <c r="C99" s="1272" t="s">
        <v>266</v>
      </c>
      <c r="D99" s="1092">
        <v>0</v>
      </c>
      <c r="E99" s="1091">
        <v>0</v>
      </c>
      <c r="F99" s="1091">
        <v>0</v>
      </c>
      <c r="G99" s="1091">
        <v>0</v>
      </c>
      <c r="H99" s="1091">
        <v>0</v>
      </c>
      <c r="I99" s="1091">
        <v>0</v>
      </c>
      <c r="J99" s="1090">
        <v>0</v>
      </c>
      <c r="K99"/>
      <c r="L99"/>
      <c r="M99" s="940"/>
    </row>
    <row r="100" spans="1:13" s="936" customFormat="1" ht="15" customHeight="1">
      <c r="A100" s="1082"/>
      <c r="B100" s="1760"/>
      <c r="C100" s="1273" t="s">
        <v>265</v>
      </c>
      <c r="D100" s="1173">
        <v>0</v>
      </c>
      <c r="E100" s="1172">
        <v>0</v>
      </c>
      <c r="F100" s="1172">
        <v>0</v>
      </c>
      <c r="G100" s="1172">
        <v>0</v>
      </c>
      <c r="H100" s="1172">
        <v>0</v>
      </c>
      <c r="I100" s="1172">
        <v>0</v>
      </c>
      <c r="J100" s="1171">
        <v>0</v>
      </c>
      <c r="K100"/>
      <c r="L100"/>
      <c r="M100" s="940"/>
    </row>
    <row r="101" spans="1:13" s="936" customFormat="1" ht="15" customHeight="1">
      <c r="A101" s="1082"/>
      <c r="B101" s="1760"/>
      <c r="C101" s="1273" t="s">
        <v>264</v>
      </c>
      <c r="D101" s="1095">
        <v>0</v>
      </c>
      <c r="E101" s="1094">
        <v>0</v>
      </c>
      <c r="F101" s="1094">
        <v>0</v>
      </c>
      <c r="G101" s="1094">
        <v>0</v>
      </c>
      <c r="H101" s="1094">
        <v>0</v>
      </c>
      <c r="I101" s="1094">
        <v>0</v>
      </c>
      <c r="J101" s="1093">
        <v>0</v>
      </c>
      <c r="K101"/>
      <c r="L101"/>
      <c r="M101" s="940"/>
    </row>
    <row r="102" spans="1:13" s="936" customFormat="1" ht="15" customHeight="1">
      <c r="A102" s="1082"/>
      <c r="B102" s="1760"/>
      <c r="C102" s="1273" t="s">
        <v>263</v>
      </c>
      <c r="D102" s="1095">
        <v>0</v>
      </c>
      <c r="E102" s="1094">
        <v>0</v>
      </c>
      <c r="F102" s="1094">
        <v>0</v>
      </c>
      <c r="G102" s="1094">
        <v>0</v>
      </c>
      <c r="H102" s="1094">
        <v>0</v>
      </c>
      <c r="I102" s="1094">
        <v>0</v>
      </c>
      <c r="J102" s="1093">
        <v>0</v>
      </c>
      <c r="K102"/>
      <c r="L102"/>
      <c r="M102" s="940"/>
    </row>
    <row r="103" spans="1:13" s="936" customFormat="1" ht="15" customHeight="1">
      <c r="A103" s="1082"/>
      <c r="B103" s="1760"/>
      <c r="C103" s="1273" t="s">
        <v>262</v>
      </c>
      <c r="D103" s="1095">
        <v>0</v>
      </c>
      <c r="E103" s="1094">
        <v>0</v>
      </c>
      <c r="F103" s="1094">
        <v>0</v>
      </c>
      <c r="G103" s="1094">
        <v>0</v>
      </c>
      <c r="H103" s="1094">
        <v>0</v>
      </c>
      <c r="I103" s="1094">
        <v>0</v>
      </c>
      <c r="J103" s="1093">
        <v>0</v>
      </c>
      <c r="K103"/>
      <c r="L103"/>
      <c r="M103" s="940"/>
    </row>
    <row r="104" spans="1:13" s="936" customFormat="1" ht="15" customHeight="1">
      <c r="A104" s="1082"/>
      <c r="B104" s="1760"/>
      <c r="C104" s="1273" t="s">
        <v>261</v>
      </c>
      <c r="D104" s="1095">
        <v>0</v>
      </c>
      <c r="E104" s="1094">
        <v>0</v>
      </c>
      <c r="F104" s="1094">
        <v>0</v>
      </c>
      <c r="G104" s="1094">
        <v>0</v>
      </c>
      <c r="H104" s="1094">
        <v>0</v>
      </c>
      <c r="I104" s="1094">
        <v>0</v>
      </c>
      <c r="J104" s="1093">
        <v>0</v>
      </c>
      <c r="K104"/>
      <c r="L104"/>
      <c r="M104" s="940"/>
    </row>
    <row r="105" spans="1:13" s="936" customFormat="1" ht="15" customHeight="1">
      <c r="A105" s="1082"/>
      <c r="B105" s="1760"/>
      <c r="C105" s="1273" t="s">
        <v>260</v>
      </c>
      <c r="D105" s="1095">
        <v>-0.25</v>
      </c>
      <c r="E105" s="1094">
        <v>-0.25</v>
      </c>
      <c r="F105" s="1094">
        <v>-0.25</v>
      </c>
      <c r="G105" s="1094">
        <v>-0.375</v>
      </c>
      <c r="H105" s="1094">
        <v>-0.375</v>
      </c>
      <c r="I105" s="1094">
        <v>-0.5</v>
      </c>
      <c r="J105" s="1093" t="s">
        <v>14</v>
      </c>
      <c r="K105"/>
      <c r="L105"/>
      <c r="M105" s="940"/>
    </row>
    <row r="106" spans="1:13" s="936" customFormat="1" ht="15" customHeight="1">
      <c r="A106" s="1082"/>
      <c r="B106" s="1760"/>
      <c r="C106" s="1273" t="s">
        <v>259</v>
      </c>
      <c r="D106" s="1095">
        <v>-2</v>
      </c>
      <c r="E106" s="1094">
        <v>-2</v>
      </c>
      <c r="F106" s="1094">
        <v>-2</v>
      </c>
      <c r="G106" s="1094">
        <v>-2</v>
      </c>
      <c r="H106" s="1094">
        <v>-2</v>
      </c>
      <c r="I106" s="1094">
        <v>-2</v>
      </c>
      <c r="J106" s="1093">
        <v>-2</v>
      </c>
      <c r="K106"/>
      <c r="L106"/>
      <c r="M106" s="940"/>
    </row>
    <row r="107" spans="1:13" s="936" customFormat="1" ht="15.75" thickBot="1">
      <c r="A107" s="1082"/>
      <c r="B107" s="1773"/>
      <c r="C107" s="1089" t="s">
        <v>348</v>
      </c>
      <c r="D107" s="1157">
        <v>-0.5</v>
      </c>
      <c r="E107" s="1156">
        <v>-0.5</v>
      </c>
      <c r="F107" s="1156">
        <v>-0.5</v>
      </c>
      <c r="G107" s="1156">
        <v>-0.5</v>
      </c>
      <c r="H107" s="1156">
        <v>-0.5</v>
      </c>
      <c r="I107" s="1156" t="s">
        <v>14</v>
      </c>
      <c r="J107" s="1155" t="s">
        <v>14</v>
      </c>
      <c r="K107"/>
      <c r="L107"/>
      <c r="M107" s="940"/>
    </row>
    <row r="108" spans="1:13" s="936" customFormat="1">
      <c r="A108" s="1082"/>
      <c r="B108" s="1772" t="s">
        <v>308</v>
      </c>
      <c r="C108" s="1272" t="s">
        <v>307</v>
      </c>
      <c r="D108" s="1092">
        <v>0</v>
      </c>
      <c r="E108" s="1091">
        <v>0</v>
      </c>
      <c r="F108" s="1091">
        <v>0</v>
      </c>
      <c r="G108" s="1091">
        <v>0</v>
      </c>
      <c r="H108" s="1091">
        <v>0</v>
      </c>
      <c r="I108" s="1091">
        <v>0</v>
      </c>
      <c r="J108" s="1090">
        <v>0</v>
      </c>
      <c r="K108"/>
      <c r="L108"/>
      <c r="M108" s="940"/>
    </row>
    <row r="109" spans="1:13" s="936" customFormat="1" ht="15.75" thickBot="1">
      <c r="A109" s="1082"/>
      <c r="B109" s="1773"/>
      <c r="C109" s="1089" t="s">
        <v>306</v>
      </c>
      <c r="D109" s="1157">
        <v>0</v>
      </c>
      <c r="E109" s="1156">
        <v>0</v>
      </c>
      <c r="F109" s="1156">
        <v>0</v>
      </c>
      <c r="G109" s="1156">
        <v>0</v>
      </c>
      <c r="H109" s="1156">
        <v>0</v>
      </c>
      <c r="I109" s="1156">
        <v>0</v>
      </c>
      <c r="J109" s="1155">
        <v>0</v>
      </c>
      <c r="K109"/>
      <c r="L109"/>
      <c r="M109" s="940"/>
    </row>
    <row r="110" spans="1:13" s="936" customFormat="1">
      <c r="A110" s="1082"/>
      <c r="B110"/>
      <c r="C110"/>
      <c r="D110"/>
      <c r="E110"/>
      <c r="F110"/>
      <c r="G110"/>
      <c r="H110"/>
      <c r="I110"/>
      <c r="M110" s="940"/>
    </row>
    <row r="111" spans="1:13" s="936" customFormat="1">
      <c r="A111" s="1082"/>
      <c r="M111" s="940"/>
    </row>
    <row r="112" spans="1:13" s="936" customFormat="1">
      <c r="A112" s="1082"/>
      <c r="M112" s="940"/>
    </row>
    <row r="113" spans="1:13" s="936" customFormat="1">
      <c r="A113" s="1082"/>
      <c r="M113" s="940"/>
    </row>
    <row r="114" spans="1:13" s="936" customFormat="1">
      <c r="A114" s="1082"/>
      <c r="M114" s="940"/>
    </row>
    <row r="115" spans="1:13" s="936" customFormat="1">
      <c r="A115" s="1082"/>
      <c r="M115" s="940"/>
    </row>
    <row r="116" spans="1:13" s="936" customFormat="1">
      <c r="A116" s="1082"/>
      <c r="M116" s="940"/>
    </row>
    <row r="117" spans="1:13" s="936" customFormat="1">
      <c r="A117" s="1082"/>
      <c r="M117" s="940"/>
    </row>
    <row r="118" spans="1:13" s="936" customFormat="1">
      <c r="A118" s="1082"/>
      <c r="M118" s="940"/>
    </row>
    <row r="119" spans="1:13" s="936" customFormat="1">
      <c r="A119" s="1082"/>
      <c r="M119" s="940"/>
    </row>
    <row r="120" spans="1:13" s="936" customFormat="1">
      <c r="A120" s="1082"/>
      <c r="M120" s="940"/>
    </row>
    <row r="121" spans="1:13" s="936" customFormat="1">
      <c r="A121" s="1082"/>
      <c r="M121" s="940"/>
    </row>
    <row r="122" spans="1:13" s="936" customFormat="1">
      <c r="A122" s="1082"/>
      <c r="M122" s="940"/>
    </row>
    <row r="123" spans="1:13" s="936" customFormat="1">
      <c r="A123" s="1082"/>
      <c r="M123" s="940"/>
    </row>
    <row r="124" spans="1:13" s="936" customFormat="1">
      <c r="A124" s="1082"/>
      <c r="M124" s="940"/>
    </row>
    <row r="125" spans="1:13" s="936" customFormat="1">
      <c r="A125" s="1082"/>
      <c r="G125" s="1081"/>
      <c r="H125" s="1080"/>
      <c r="M125" s="940"/>
    </row>
    <row r="126" spans="1:13" s="936" customFormat="1">
      <c r="A126" s="1082"/>
      <c r="G126" s="1081"/>
      <c r="H126" s="1080"/>
      <c r="M126" s="940"/>
    </row>
    <row r="127" spans="1:13" s="936" customFormat="1">
      <c r="A127" s="1082"/>
      <c r="G127" s="1081"/>
      <c r="H127" s="1080"/>
      <c r="M127" s="940"/>
    </row>
    <row r="128" spans="1:13" s="936" customFormat="1">
      <c r="A128" s="1082"/>
      <c r="G128" s="1081"/>
      <c r="H128" s="1080"/>
      <c r="M128" s="940"/>
    </row>
    <row r="129" spans="1:17" s="936" customFormat="1">
      <c r="A129" s="1082"/>
      <c r="G129" s="1081"/>
      <c r="H129" s="1080"/>
      <c r="M129" s="940"/>
    </row>
    <row r="130" spans="1:17" s="936" customFormat="1">
      <c r="A130" s="1082"/>
      <c r="M130" s="940"/>
    </row>
    <row r="131" spans="1:17" s="936" customFormat="1">
      <c r="A131" s="1082"/>
      <c r="M131" s="940"/>
    </row>
    <row r="132" spans="1:17" s="936" customFormat="1">
      <c r="A132" s="1082"/>
      <c r="M132" s="940"/>
    </row>
    <row r="133" spans="1:17" s="936" customFormat="1" ht="15.75" thickBot="1">
      <c r="A133" s="1082"/>
      <c r="M133" s="940"/>
    </row>
    <row r="134" spans="1:17" s="936" customFormat="1" ht="15" customHeight="1">
      <c r="A134" s="945"/>
      <c r="B134" s="1799" t="s">
        <v>181</v>
      </c>
      <c r="C134" s="1799"/>
      <c r="D134" s="1799"/>
      <c r="E134" s="1799"/>
      <c r="F134" s="1799"/>
      <c r="G134" s="1799"/>
      <c r="H134" s="1799"/>
      <c r="I134" s="1799"/>
      <c r="J134" s="1799"/>
      <c r="K134" s="1799"/>
      <c r="L134" s="1799"/>
      <c r="M134" s="1820"/>
    </row>
    <row r="135" spans="1:17" s="936" customFormat="1">
      <c r="A135" s="942"/>
      <c r="B135" s="1800"/>
      <c r="C135" s="1800"/>
      <c r="D135" s="1800"/>
      <c r="E135" s="1800"/>
      <c r="F135" s="1800"/>
      <c r="G135" s="1800"/>
      <c r="H135" s="1800"/>
      <c r="I135" s="1800"/>
      <c r="J135" s="1800"/>
      <c r="K135" s="1800"/>
      <c r="L135" s="1800"/>
      <c r="M135" s="1821"/>
    </row>
    <row r="136" spans="1:17" s="936" customFormat="1">
      <c r="A136" s="942"/>
      <c r="B136" s="1800"/>
      <c r="C136" s="1800"/>
      <c r="D136" s="1800"/>
      <c r="E136" s="1800"/>
      <c r="F136" s="1800"/>
      <c r="G136" s="1800"/>
      <c r="H136" s="1800"/>
      <c r="I136" s="1800"/>
      <c r="J136" s="1800"/>
      <c r="K136" s="1800"/>
      <c r="L136" s="1800"/>
      <c r="M136" s="1821"/>
      <c r="O136" s="935"/>
      <c r="P136" s="935"/>
      <c r="Q136" s="935"/>
    </row>
    <row r="137" spans="1:17" s="936" customFormat="1" ht="15.75" thickBot="1">
      <c r="A137" s="939"/>
      <c r="B137" s="1801"/>
      <c r="C137" s="1801"/>
      <c r="D137" s="1801"/>
      <c r="E137" s="1801"/>
      <c r="F137" s="1801"/>
      <c r="G137" s="1801"/>
      <c r="H137" s="1801"/>
      <c r="I137" s="1801"/>
      <c r="J137" s="1801"/>
      <c r="K137" s="1801"/>
      <c r="L137" s="1801"/>
      <c r="M137" s="1822"/>
      <c r="O137" s="935"/>
      <c r="P137" s="935"/>
      <c r="Q137" s="935"/>
    </row>
  </sheetData>
  <mergeCells count="17">
    <mergeCell ref="B134:M137"/>
    <mergeCell ref="B88:B96"/>
    <mergeCell ref="B97:B98"/>
    <mergeCell ref="B99:B107"/>
    <mergeCell ref="B108:B109"/>
    <mergeCell ref="H15:J16"/>
    <mergeCell ref="H17:J17"/>
    <mergeCell ref="H18:J18"/>
    <mergeCell ref="E19:F19"/>
    <mergeCell ref="B84:B87"/>
    <mergeCell ref="D55:J55"/>
    <mergeCell ref="H14:J14"/>
    <mergeCell ref="K2:L2"/>
    <mergeCell ref="K3:L3"/>
    <mergeCell ref="A10:M11"/>
    <mergeCell ref="O10:Q10"/>
    <mergeCell ref="H13:J13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  <x14:dataValidation type="list" allowBlank="1" showInputMessage="1" showErrorMessage="1" xr:uid="{5C1AB35F-53C8-46C4-9871-1C495F5C96B8}">
          <x14:formula1>
            <xm:f>margins!$X$128:$X$129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margins!$X$131:$X$133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margins!$X$134:$X$137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margins!$X$140:$X$149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margins!$X$151:$X$153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margins!$X$164:$X$173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margins!$X$178:$X$180</xm:f>
          </x14:formula1>
          <xm:sqref>P22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31" zoomScaleNormal="130" workbookViewId="0">
      <selection activeCell="U60" sqref="U6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414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413</v>
      </c>
      <c r="D28" s="1680"/>
      <c r="E28" s="1680"/>
      <c r="F28" s="1680"/>
      <c r="G28" s="1928"/>
      <c r="H28" s="317"/>
      <c r="I28" s="1681" t="s">
        <v>256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415</v>
      </c>
      <c r="D29" s="345"/>
      <c r="E29" s="345"/>
      <c r="F29" s="115"/>
      <c r="G29" s="116" t="s">
        <v>171</v>
      </c>
      <c r="H29" s="317"/>
      <c r="I29" s="1681"/>
      <c r="J29" s="1682"/>
      <c r="K29" s="1682"/>
      <c r="L29" s="1682"/>
      <c r="M29" s="1682"/>
      <c r="N29" s="1682"/>
      <c r="O29" s="1683"/>
      <c r="P29" s="318"/>
      <c r="Q29" s="440"/>
    </row>
    <row r="30" spans="1:17" ht="9.9499999999999993" customHeight="1">
      <c r="A30" s="316"/>
      <c r="B30" s="351"/>
      <c r="C30" s="587" t="s">
        <v>416</v>
      </c>
      <c r="D30" s="345"/>
      <c r="E30" s="345"/>
      <c r="F30" s="115"/>
      <c r="G30" s="116" t="s">
        <v>172</v>
      </c>
      <c r="H30" s="317"/>
      <c r="I30" s="368"/>
      <c r="J30" s="1664"/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5" workbookViewId="0">
      <selection activeCell="U60" sqref="U60"/>
    </sheetView>
  </sheetViews>
  <sheetFormatPr defaultColWidth="8.7109375" defaultRowHeight="12.75"/>
  <cols>
    <col min="1" max="1" width="14.5703125" style="663" customWidth="1"/>
    <col min="2" max="3" width="13.28515625" style="663" customWidth="1"/>
    <col min="4" max="4" width="13.42578125" style="663" customWidth="1"/>
    <col min="5" max="5" width="1.85546875" style="663" customWidth="1"/>
    <col min="6" max="6" width="15" style="663" customWidth="1"/>
    <col min="7" max="7" width="25.85546875" style="663" customWidth="1"/>
    <col min="8" max="8" width="9.42578125" style="663" customWidth="1"/>
    <col min="9" max="13" width="9.7109375" style="663" customWidth="1"/>
    <col min="14" max="14" width="11.42578125" style="663" customWidth="1"/>
    <col min="15" max="15" width="1.7109375" style="663" customWidth="1"/>
    <col min="16" max="17" width="19.140625" style="663" customWidth="1"/>
    <col min="18" max="18" width="21" style="663" bestFit="1" customWidth="1"/>
    <col min="19" max="16384" width="8.7109375" style="663"/>
  </cols>
  <sheetData>
    <row r="1" spans="1:18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customFormat="1" ht="26.25">
      <c r="A2" s="38"/>
      <c r="B2" s="39"/>
      <c r="C2" s="1793" t="s">
        <v>413</v>
      </c>
      <c r="D2" s="1793"/>
      <c r="E2" s="1793"/>
      <c r="F2" s="1793"/>
      <c r="G2" s="1793"/>
      <c r="H2" s="1793"/>
      <c r="I2" s="1793"/>
      <c r="J2" s="1793"/>
      <c r="K2" s="1793"/>
      <c r="L2" s="1793"/>
      <c r="M2" s="1793"/>
      <c r="N2" s="1793"/>
    </row>
    <row r="3" spans="1:18" customFormat="1" ht="31.5" thickBot="1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customFormat="1" ht="31.5" thickBot="1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578" t="s">
        <v>421</v>
      </c>
      <c r="Q5" s="578"/>
      <c r="R5" s="1414">
        <v>46223.360266203701</v>
      </c>
    </row>
    <row r="6" spans="1:18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418"/>
      <c r="Q6" s="418"/>
      <c r="R6" s="418"/>
    </row>
    <row r="7" spans="1:18" ht="15" thickBot="1">
      <c r="A7" s="1933" t="s">
        <v>417</v>
      </c>
      <c r="B7" s="1934"/>
      <c r="C7" s="1934"/>
      <c r="D7" s="1935"/>
      <c r="E7" s="665"/>
      <c r="F7" s="1933" t="s">
        <v>424</v>
      </c>
      <c r="G7" s="1934"/>
      <c r="H7" s="1934"/>
      <c r="I7" s="1934"/>
      <c r="J7" s="1934"/>
      <c r="K7" s="1934"/>
      <c r="L7" s="1934"/>
      <c r="M7" s="1934"/>
      <c r="N7" s="1935"/>
      <c r="P7" s="441" t="s">
        <v>195</v>
      </c>
      <c r="Q7" s="442" t="s">
        <v>196</v>
      </c>
      <c r="R7" s="442" t="s">
        <v>197</v>
      </c>
    </row>
    <row r="8" spans="1:18" ht="15" thickBot="1">
      <c r="A8" s="708" t="s">
        <v>3</v>
      </c>
      <c r="B8" s="708" t="s">
        <v>212</v>
      </c>
      <c r="C8" s="708" t="s">
        <v>13</v>
      </c>
      <c r="D8" s="708" t="s">
        <v>387</v>
      </c>
      <c r="E8" s="666"/>
      <c r="F8" s="1936"/>
      <c r="G8" s="705"/>
      <c r="H8" s="725" t="s">
        <v>15</v>
      </c>
      <c r="I8" s="706" t="s">
        <v>16</v>
      </c>
      <c r="J8" s="706" t="s">
        <v>17</v>
      </c>
      <c r="K8" s="706" t="s">
        <v>18</v>
      </c>
      <c r="L8" s="706" t="s">
        <v>19</v>
      </c>
      <c r="M8" s="706" t="s">
        <v>20</v>
      </c>
      <c r="N8" s="707" t="s">
        <v>21</v>
      </c>
      <c r="P8" s="418"/>
      <c r="Q8" s="418"/>
      <c r="R8" s="418"/>
    </row>
    <row r="9" spans="1:18" ht="15" customHeight="1">
      <c r="A9" s="667">
        <v>8.625</v>
      </c>
      <c r="B9" s="667">
        <v>88.163250000000005</v>
      </c>
      <c r="C9" s="667">
        <v>88.163250000000005</v>
      </c>
      <c r="D9" s="667">
        <v>88.163250000000005</v>
      </c>
      <c r="E9" s="668"/>
      <c r="F9" s="1937"/>
      <c r="G9" s="669" t="s">
        <v>111</v>
      </c>
      <c r="H9" s="713">
        <v>0.25</v>
      </c>
      <c r="I9" s="714">
        <v>0.25</v>
      </c>
      <c r="J9" s="714">
        <v>0.25</v>
      </c>
      <c r="K9" s="714">
        <v>0.125</v>
      </c>
      <c r="L9" s="714">
        <v>0</v>
      </c>
      <c r="M9" s="714">
        <v>-0.5</v>
      </c>
      <c r="N9" s="715">
        <v>-2.5</v>
      </c>
      <c r="P9" s="427" t="s">
        <v>198</v>
      </c>
      <c r="Q9" s="431" t="s">
        <v>192</v>
      </c>
      <c r="R9" s="435"/>
    </row>
    <row r="10" spans="1:18" ht="15" customHeight="1">
      <c r="A10" s="667">
        <v>8.75</v>
      </c>
      <c r="B10" s="667">
        <v>88.413250000000005</v>
      </c>
      <c r="C10" s="667">
        <v>88.413250000000005</v>
      </c>
      <c r="D10" s="667">
        <v>88.413250000000005</v>
      </c>
      <c r="E10" s="668"/>
      <c r="F10" s="1937"/>
      <c r="G10" s="670" t="s">
        <v>292</v>
      </c>
      <c r="H10" s="716">
        <v>0.125</v>
      </c>
      <c r="I10" s="714">
        <v>0.125</v>
      </c>
      <c r="J10" s="714">
        <v>0.125</v>
      </c>
      <c r="K10" s="714">
        <v>0</v>
      </c>
      <c r="L10" s="714">
        <v>-0.25</v>
      </c>
      <c r="M10" s="714">
        <v>-0.625</v>
      </c>
      <c r="N10" s="717">
        <v>-3</v>
      </c>
      <c r="P10" s="428" t="s">
        <v>199</v>
      </c>
      <c r="Q10" s="432">
        <v>9.25</v>
      </c>
      <c r="R10" s="436">
        <f>IF(Q9="7/6 Arm",VLOOKUP(Q10,$A$8:$D$34,3,FALSE),IF(Q9="5/6 Arm",VLOOKUP(Q10,$A$8:$D$34,2,FALSE),VLOOKUP(Q10,$A$8:$D$34,4,FALSE)))</f>
        <v>89.413250000000005</v>
      </c>
    </row>
    <row r="11" spans="1:18" ht="15">
      <c r="A11" s="667">
        <v>8.875</v>
      </c>
      <c r="B11" s="667">
        <v>88.663250000000005</v>
      </c>
      <c r="C11" s="667">
        <v>88.663250000000005</v>
      </c>
      <c r="D11" s="667">
        <v>88.663250000000005</v>
      </c>
      <c r="E11" s="668"/>
      <c r="F11" s="1937"/>
      <c r="G11" s="670" t="s">
        <v>291</v>
      </c>
      <c r="H11" s="716">
        <v>0</v>
      </c>
      <c r="I11" s="714">
        <v>0</v>
      </c>
      <c r="J11" s="714">
        <v>-0.125</v>
      </c>
      <c r="K11" s="714">
        <v>-0.25</v>
      </c>
      <c r="L11" s="714">
        <v>-0.625</v>
      </c>
      <c r="M11" s="714">
        <v>-1</v>
      </c>
      <c r="N11" s="717" t="s">
        <v>14</v>
      </c>
      <c r="P11" s="428" t="s">
        <v>353</v>
      </c>
      <c r="Q11" s="432" t="s">
        <v>15</v>
      </c>
      <c r="R11" s="436"/>
    </row>
    <row r="12" spans="1:18" ht="15">
      <c r="A12" s="667">
        <v>9</v>
      </c>
      <c r="B12" s="667">
        <v>88.913250000000005</v>
      </c>
      <c r="C12" s="667">
        <v>88.913250000000005</v>
      </c>
      <c r="D12" s="667">
        <v>88.913250000000005</v>
      </c>
      <c r="E12" s="668"/>
      <c r="F12" s="1937"/>
      <c r="G12" s="671" t="s">
        <v>393</v>
      </c>
      <c r="H12" s="716">
        <v>-0.125</v>
      </c>
      <c r="I12" s="714">
        <v>-0.25</v>
      </c>
      <c r="J12" s="714">
        <v>-0.375</v>
      </c>
      <c r="K12" s="714">
        <v>-0.5</v>
      </c>
      <c r="L12" s="714">
        <v>-0.75</v>
      </c>
      <c r="M12" s="714" t="s">
        <v>14</v>
      </c>
      <c r="N12" s="717" t="s">
        <v>14</v>
      </c>
      <c r="P12" s="428" t="s">
        <v>200</v>
      </c>
      <c r="Q12" s="432" t="s">
        <v>291</v>
      </c>
      <c r="R12" s="436">
        <f>IFERROR(INDEX($H$9:$N$13,MATCH(Q12,$G$9:$G$13,0),MATCH($Q$11,$H$8:$N$8,0),1),0)</f>
        <v>0</v>
      </c>
    </row>
    <row r="13" spans="1:18" ht="15.75" thickBot="1">
      <c r="A13" s="667">
        <v>9.125</v>
      </c>
      <c r="B13" s="667">
        <v>89.163250000000005</v>
      </c>
      <c r="C13" s="667">
        <v>89.163250000000005</v>
      </c>
      <c r="D13" s="667">
        <v>89.163250000000005</v>
      </c>
      <c r="E13" s="668"/>
      <c r="F13" s="1938"/>
      <c r="G13" s="672" t="s">
        <v>289</v>
      </c>
      <c r="H13" s="718">
        <v>-0.5</v>
      </c>
      <c r="I13" s="719">
        <v>-0.875</v>
      </c>
      <c r="J13" s="719">
        <v>-1.125</v>
      </c>
      <c r="K13" s="719">
        <v>-1.5</v>
      </c>
      <c r="L13" s="719" t="s">
        <v>14</v>
      </c>
      <c r="M13" s="719" t="s">
        <v>14</v>
      </c>
      <c r="N13" s="720" t="s">
        <v>14</v>
      </c>
      <c r="P13" s="428" t="s">
        <v>429</v>
      </c>
      <c r="Q13" s="432" t="s">
        <v>191</v>
      </c>
      <c r="R13" s="436">
        <f t="shared" ref="R13:R19" si="0">IFERROR(INDEX($H$17:$N$26,MATCH(Q13,$G$17:$G$26,0),MATCH($Q$11,$H$16:$N$16,0),1),0)</f>
        <v>0</v>
      </c>
    </row>
    <row r="14" spans="1:18" ht="15.75" thickBot="1">
      <c r="A14" s="667">
        <v>9.25</v>
      </c>
      <c r="B14" s="667">
        <v>89.413250000000005</v>
      </c>
      <c r="C14" s="667">
        <v>89.413250000000005</v>
      </c>
      <c r="D14" s="667">
        <v>89.413250000000005</v>
      </c>
      <c r="E14" s="668"/>
      <c r="F14" s="673"/>
      <c r="G14" s="674"/>
      <c r="H14" s="675"/>
      <c r="I14" s="675"/>
      <c r="J14" s="675"/>
      <c r="K14" s="675"/>
      <c r="L14" s="675"/>
      <c r="M14" s="675"/>
      <c r="N14" s="675"/>
      <c r="P14" s="428" t="s">
        <v>63</v>
      </c>
      <c r="Q14" s="432" t="s">
        <v>191</v>
      </c>
      <c r="R14" s="436">
        <f t="shared" si="0"/>
        <v>0</v>
      </c>
    </row>
    <row r="15" spans="1:18" ht="15.75" thickBot="1">
      <c r="A15" s="667">
        <v>9.375</v>
      </c>
      <c r="B15" s="667">
        <v>89.663250000000005</v>
      </c>
      <c r="C15" s="667">
        <v>89.663250000000005</v>
      </c>
      <c r="D15" s="667">
        <v>89.663250000000005</v>
      </c>
      <c r="E15" s="668"/>
      <c r="F15" s="1933" t="s">
        <v>398</v>
      </c>
      <c r="G15" s="1934"/>
      <c r="H15" s="1934"/>
      <c r="I15" s="1934"/>
      <c r="J15" s="1934"/>
      <c r="K15" s="1934"/>
      <c r="L15" s="1934"/>
      <c r="M15" s="1934"/>
      <c r="N15" s="1935"/>
      <c r="P15" s="428" t="s">
        <v>418</v>
      </c>
      <c r="Q15" s="432" t="s">
        <v>191</v>
      </c>
      <c r="R15" s="436">
        <f t="shared" si="0"/>
        <v>0</v>
      </c>
    </row>
    <row r="16" spans="1:18" ht="15.75" thickBot="1">
      <c r="A16" s="667">
        <v>9.5</v>
      </c>
      <c r="B16" s="667">
        <v>89.913250000000005</v>
      </c>
      <c r="C16" s="667">
        <v>89.913250000000005</v>
      </c>
      <c r="D16" s="667">
        <v>89.913250000000005</v>
      </c>
      <c r="E16" s="668"/>
      <c r="F16" s="676"/>
      <c r="G16" s="727" t="s">
        <v>298</v>
      </c>
      <c r="H16" s="725" t="s">
        <v>15</v>
      </c>
      <c r="I16" s="706" t="s">
        <v>16</v>
      </c>
      <c r="J16" s="706" t="s">
        <v>17</v>
      </c>
      <c r="K16" s="706" t="s">
        <v>18</v>
      </c>
      <c r="L16" s="706" t="s">
        <v>19</v>
      </c>
      <c r="M16" s="706" t="s">
        <v>20</v>
      </c>
      <c r="N16" s="707" t="s">
        <v>21</v>
      </c>
      <c r="P16" s="428" t="s">
        <v>45</v>
      </c>
      <c r="Q16" s="432" t="s">
        <v>191</v>
      </c>
      <c r="R16" s="436">
        <f t="shared" si="0"/>
        <v>0</v>
      </c>
    </row>
    <row r="17" spans="1:18" ht="15" customHeight="1">
      <c r="A17" s="667">
        <v>9.625</v>
      </c>
      <c r="B17" s="667">
        <v>90.163250000000005</v>
      </c>
      <c r="C17" s="667">
        <v>90.163250000000005</v>
      </c>
      <c r="D17" s="667">
        <v>90.163250000000005</v>
      </c>
      <c r="E17" s="677"/>
      <c r="F17" s="678"/>
      <c r="G17" s="709" t="s">
        <v>399</v>
      </c>
      <c r="H17" s="713">
        <v>0</v>
      </c>
      <c r="I17" s="714">
        <v>0</v>
      </c>
      <c r="J17" s="714">
        <v>0</v>
      </c>
      <c r="K17" s="714">
        <v>0</v>
      </c>
      <c r="L17" s="714">
        <v>0</v>
      </c>
      <c r="M17" s="714">
        <v>0</v>
      </c>
      <c r="N17" s="715">
        <v>0</v>
      </c>
      <c r="P17" s="428" t="s">
        <v>348</v>
      </c>
      <c r="Q17" s="432" t="s">
        <v>191</v>
      </c>
      <c r="R17" s="436">
        <f t="shared" si="0"/>
        <v>0</v>
      </c>
    </row>
    <row r="18" spans="1:18" ht="15" customHeight="1">
      <c r="A18" s="667">
        <v>9.75</v>
      </c>
      <c r="B18" s="667">
        <v>90.413250000000005</v>
      </c>
      <c r="C18" s="667">
        <v>90.413250000000005</v>
      </c>
      <c r="D18" s="667">
        <v>90.413250000000005</v>
      </c>
      <c r="E18" s="668"/>
      <c r="F18" s="678"/>
      <c r="G18" s="726" t="s">
        <v>428</v>
      </c>
      <c r="H18" s="713">
        <v>-0.25</v>
      </c>
      <c r="I18" s="714">
        <v>-0.25</v>
      </c>
      <c r="J18" s="714">
        <v>-0.25</v>
      </c>
      <c r="K18" s="714">
        <v>-0.25</v>
      </c>
      <c r="L18" s="714">
        <v>-0.25</v>
      </c>
      <c r="M18" s="714">
        <v>-0.25</v>
      </c>
      <c r="N18" s="715">
        <v>-0.5</v>
      </c>
      <c r="P18" s="428" t="s">
        <v>419</v>
      </c>
      <c r="Q18" s="432" t="s">
        <v>191</v>
      </c>
      <c r="R18" s="436">
        <f t="shared" si="0"/>
        <v>0</v>
      </c>
    </row>
    <row r="19" spans="1:18" ht="15" customHeight="1">
      <c r="A19" s="667">
        <v>9.875</v>
      </c>
      <c r="B19" s="667">
        <v>90.663250000000005</v>
      </c>
      <c r="C19" s="667">
        <v>90.663250000000005</v>
      </c>
      <c r="D19" s="667">
        <v>90.663250000000005</v>
      </c>
      <c r="E19" s="668"/>
      <c r="F19" s="678"/>
      <c r="G19" s="726" t="s">
        <v>88</v>
      </c>
      <c r="H19" s="713">
        <v>-0.25</v>
      </c>
      <c r="I19" s="714">
        <v>-0.25</v>
      </c>
      <c r="J19" s="714">
        <v>-0.375</v>
      </c>
      <c r="K19" s="714">
        <v>-0.5</v>
      </c>
      <c r="L19" s="714">
        <v>-0.625</v>
      </c>
      <c r="M19" s="714">
        <v>-0.75</v>
      </c>
      <c r="N19" s="715">
        <v>-1</v>
      </c>
      <c r="P19" s="428" t="s">
        <v>420</v>
      </c>
      <c r="Q19" s="432" t="s">
        <v>191</v>
      </c>
      <c r="R19" s="436">
        <f t="shared" si="0"/>
        <v>0</v>
      </c>
    </row>
    <row r="20" spans="1:18" ht="15" customHeight="1">
      <c r="A20" s="667">
        <v>10</v>
      </c>
      <c r="B20" s="667">
        <v>90.913250000000005</v>
      </c>
      <c r="C20" s="667">
        <v>90.913250000000005</v>
      </c>
      <c r="D20" s="667">
        <v>90.913250000000005</v>
      </c>
      <c r="E20" s="668"/>
      <c r="F20" s="678"/>
      <c r="G20" s="679" t="s">
        <v>63</v>
      </c>
      <c r="H20" s="716">
        <v>-0.25</v>
      </c>
      <c r="I20" s="714">
        <v>-0.25</v>
      </c>
      <c r="J20" s="714">
        <v>-0.25</v>
      </c>
      <c r="K20" s="714">
        <v>-0.25</v>
      </c>
      <c r="L20" s="714">
        <v>-0.25</v>
      </c>
      <c r="M20" s="714">
        <v>-0.5</v>
      </c>
      <c r="N20" s="714">
        <v>-0.5</v>
      </c>
      <c r="P20" s="428" t="s">
        <v>205</v>
      </c>
      <c r="Q20" s="432">
        <v>30</v>
      </c>
      <c r="R20" s="436">
        <f>IF(Q20=15,0,IF(Q20=30,H33))</f>
        <v>-0.25</v>
      </c>
    </row>
    <row r="21" spans="1:18" ht="15" customHeight="1" thickBot="1">
      <c r="A21" s="667">
        <v>10.125</v>
      </c>
      <c r="B21" s="667">
        <v>91.163250000000005</v>
      </c>
      <c r="C21" s="667">
        <v>91.163250000000005</v>
      </c>
      <c r="D21" s="667">
        <v>91.163250000000005</v>
      </c>
      <c r="E21" s="668"/>
      <c r="F21" s="678"/>
      <c r="G21" s="680" t="s">
        <v>400</v>
      </c>
      <c r="H21" s="716">
        <v>-0.25</v>
      </c>
      <c r="I21" s="714">
        <v>-0.25</v>
      </c>
      <c r="J21" s="714">
        <v>-0.25</v>
      </c>
      <c r="K21" s="714">
        <v>-0.25</v>
      </c>
      <c r="L21" s="714">
        <v>-0.5</v>
      </c>
      <c r="M21" s="714">
        <v>-0.5</v>
      </c>
      <c r="N21" s="721" t="s">
        <v>14</v>
      </c>
      <c r="P21" s="429" t="s">
        <v>206</v>
      </c>
      <c r="Q21" s="433"/>
      <c r="R21" s="437">
        <f>SUM(R12:R20)</f>
        <v>-0.25</v>
      </c>
    </row>
    <row r="22" spans="1:18" ht="15" customHeight="1" thickBot="1">
      <c r="A22" s="667">
        <v>10.25</v>
      </c>
      <c r="B22" s="667">
        <v>91.413250000000005</v>
      </c>
      <c r="C22" s="667">
        <v>91.413250000000005</v>
      </c>
      <c r="D22" s="667">
        <v>91.413250000000005</v>
      </c>
      <c r="E22" s="668"/>
      <c r="F22" s="678"/>
      <c r="G22" s="679" t="s">
        <v>348</v>
      </c>
      <c r="H22" s="716">
        <v>-0.25</v>
      </c>
      <c r="I22" s="714">
        <v>-0.25</v>
      </c>
      <c r="J22" s="714">
        <v>-0.5</v>
      </c>
      <c r="K22" s="714">
        <v>-0.5</v>
      </c>
      <c r="L22" s="714">
        <v>-0.5</v>
      </c>
      <c r="M22" s="714">
        <v>-0.5</v>
      </c>
      <c r="N22" s="721">
        <v>-0.75</v>
      </c>
      <c r="P22" s="420"/>
      <c r="Q22" s="421"/>
      <c r="R22" s="430"/>
    </row>
    <row r="23" spans="1:18" ht="15" customHeight="1" thickBot="1">
      <c r="A23" s="667">
        <v>10.375</v>
      </c>
      <c r="B23" s="667">
        <v>91.663250000000005</v>
      </c>
      <c r="C23" s="667">
        <v>91.663250000000005</v>
      </c>
      <c r="D23" s="667">
        <v>91.663250000000005</v>
      </c>
      <c r="E23" s="668"/>
      <c r="F23" s="678"/>
      <c r="G23" s="679" t="s">
        <v>401</v>
      </c>
      <c r="H23" s="716">
        <v>-0.25</v>
      </c>
      <c r="I23" s="714">
        <v>-0.25</v>
      </c>
      <c r="J23" s="714">
        <v>-0.25</v>
      </c>
      <c r="K23" s="714">
        <v>-0.25</v>
      </c>
      <c r="L23" s="714">
        <v>-0.25</v>
      </c>
      <c r="M23" s="714">
        <v>-0.25</v>
      </c>
      <c r="N23" s="721" t="s">
        <v>14</v>
      </c>
      <c r="P23" s="422" t="s">
        <v>207</v>
      </c>
      <c r="Q23" s="423"/>
      <c r="R23" s="584">
        <f>IF(ISNUMBER(MATCH("NA", R12:R19, 0)), "NA",MIN(R21+R10,D36))</f>
        <v>89.163250000000005</v>
      </c>
    </row>
    <row r="24" spans="1:18" ht="15" customHeight="1" thickBot="1">
      <c r="A24" s="667">
        <v>10.5</v>
      </c>
      <c r="B24" s="667">
        <v>91.913250000000005</v>
      </c>
      <c r="C24" s="667">
        <v>91.913250000000005</v>
      </c>
      <c r="D24" s="667">
        <v>91.913250000000005</v>
      </c>
      <c r="E24" s="668"/>
      <c r="F24" s="678"/>
      <c r="G24" s="681" t="s">
        <v>402</v>
      </c>
      <c r="H24" s="716">
        <v>-0.5</v>
      </c>
      <c r="I24" s="714">
        <v>-0.5</v>
      </c>
      <c r="J24" s="714">
        <v>-0.5</v>
      </c>
      <c r="K24" s="714">
        <v>-0.5</v>
      </c>
      <c r="L24" s="714">
        <v>-0.75</v>
      </c>
      <c r="M24" s="714">
        <v>-0.75</v>
      </c>
      <c r="N24" s="721">
        <v>-1.25</v>
      </c>
      <c r="P24" s="417"/>
      <c r="Q24" s="417"/>
      <c r="R24" s="417"/>
    </row>
    <row r="25" spans="1:18" ht="15.75" thickBot="1">
      <c r="A25" s="667">
        <v>10.625</v>
      </c>
      <c r="B25" s="667">
        <v>92.163250000000005</v>
      </c>
      <c r="C25" s="667">
        <v>92.163250000000005</v>
      </c>
      <c r="D25" s="667">
        <v>92.163250000000005</v>
      </c>
      <c r="E25" s="668"/>
      <c r="F25" s="678"/>
      <c r="G25" s="682" t="s">
        <v>403</v>
      </c>
      <c r="H25" s="716">
        <v>-0.25</v>
      </c>
      <c r="I25" s="714">
        <v>-0.25</v>
      </c>
      <c r="J25" s="714">
        <v>-0.25</v>
      </c>
      <c r="K25" s="714">
        <v>-0.25</v>
      </c>
      <c r="L25" s="714">
        <v>-0.5</v>
      </c>
      <c r="M25" s="714">
        <v>-0.75</v>
      </c>
      <c r="N25" s="721">
        <v>-1</v>
      </c>
      <c r="P25" s="746" t="s">
        <v>422</v>
      </c>
      <c r="Q25" s="747"/>
      <c r="R25" s="748"/>
    </row>
    <row r="26" spans="1:18" ht="15.75" thickBot="1">
      <c r="A26" s="667">
        <v>10.75</v>
      </c>
      <c r="B26" s="667">
        <v>92.413250000000005</v>
      </c>
      <c r="C26" s="667">
        <v>92.413250000000005</v>
      </c>
      <c r="D26" s="667">
        <v>92.413250000000005</v>
      </c>
      <c r="E26" s="668"/>
      <c r="F26" s="683"/>
      <c r="G26" s="684" t="s">
        <v>404</v>
      </c>
      <c r="H26" s="718">
        <v>0</v>
      </c>
      <c r="I26" s="719">
        <v>0</v>
      </c>
      <c r="J26" s="719">
        <v>0</v>
      </c>
      <c r="K26" s="719">
        <v>-0.25</v>
      </c>
      <c r="L26" s="719">
        <v>-0.5</v>
      </c>
      <c r="M26" s="719">
        <v>-0.75</v>
      </c>
      <c r="N26" s="720" t="s">
        <v>14</v>
      </c>
    </row>
    <row r="27" spans="1:18" ht="15.75" thickBot="1">
      <c r="A27" s="667">
        <v>10.875</v>
      </c>
      <c r="B27" s="667">
        <v>92.663250000000005</v>
      </c>
      <c r="C27" s="667">
        <v>92.663250000000005</v>
      </c>
      <c r="D27" s="667">
        <v>92.663250000000005</v>
      </c>
      <c r="E27" s="668"/>
    </row>
    <row r="28" spans="1:18" ht="15.75" thickBot="1">
      <c r="A28" s="667">
        <v>11</v>
      </c>
      <c r="B28" s="667">
        <v>92.913250000000005</v>
      </c>
      <c r="C28" s="667">
        <v>92.913250000000005</v>
      </c>
      <c r="D28" s="667">
        <v>92.913250000000005</v>
      </c>
      <c r="E28" s="668"/>
      <c r="F28" s="701" t="s">
        <v>405</v>
      </c>
      <c r="G28" s="699"/>
      <c r="H28" s="699"/>
      <c r="I28" s="699"/>
      <c r="J28" s="699"/>
      <c r="K28" s="699"/>
      <c r="L28" s="699"/>
      <c r="M28" s="699"/>
      <c r="N28" s="442"/>
    </row>
    <row r="29" spans="1:18" ht="15.75" thickBot="1">
      <c r="A29" s="667">
        <v>11.125</v>
      </c>
      <c r="B29" s="667">
        <v>93.163250000000005</v>
      </c>
      <c r="C29" s="667">
        <v>93.163250000000005</v>
      </c>
      <c r="D29" s="667">
        <v>93.163250000000005</v>
      </c>
      <c r="E29" s="686"/>
      <c r="F29" s="685" t="s">
        <v>406</v>
      </c>
      <c r="G29" s="702" t="s">
        <v>407</v>
      </c>
      <c r="H29" s="703"/>
      <c r="I29" s="703"/>
      <c r="J29" s="703"/>
      <c r="K29" s="703"/>
      <c r="L29" s="703"/>
      <c r="M29" s="703"/>
      <c r="N29" s="704"/>
    </row>
    <row r="30" spans="1:18" ht="15.75" thickBot="1">
      <c r="A30" s="667">
        <v>11.25</v>
      </c>
      <c r="B30" s="667">
        <v>93.413250000000005</v>
      </c>
      <c r="C30" s="667">
        <v>93.413250000000005</v>
      </c>
      <c r="D30" s="667">
        <v>93.413250000000005</v>
      </c>
      <c r="E30" s="691"/>
      <c r="F30" s="687" t="s">
        <v>408</v>
      </c>
      <c r="G30" s="688" t="s">
        <v>409</v>
      </c>
      <c r="H30" s="689"/>
      <c r="I30" s="689"/>
      <c r="J30" s="689"/>
      <c r="K30" s="689"/>
      <c r="L30" s="689"/>
      <c r="M30" s="689"/>
      <c r="N30" s="690"/>
    </row>
    <row r="31" spans="1:18" ht="15.75" thickBot="1">
      <c r="A31" s="667">
        <v>11.375</v>
      </c>
      <c r="B31" s="667">
        <v>93.663250000000005</v>
      </c>
      <c r="C31" s="667">
        <v>93.663250000000005</v>
      </c>
      <c r="D31" s="667">
        <v>93.663250000000005</v>
      </c>
      <c r="E31" s="691"/>
      <c r="P31"/>
      <c r="Q31"/>
      <c r="R31"/>
    </row>
    <row r="32" spans="1:18" ht="15" customHeight="1" thickBot="1">
      <c r="A32" s="667">
        <v>11.5</v>
      </c>
      <c r="B32" s="667">
        <v>93.913250000000005</v>
      </c>
      <c r="C32" s="667">
        <v>93.913250000000005</v>
      </c>
      <c r="D32" s="667">
        <v>93.913250000000005</v>
      </c>
      <c r="F32" s="698"/>
      <c r="G32" s="699" t="s">
        <v>410</v>
      </c>
      <c r="H32" s="700" t="s">
        <v>411</v>
      </c>
      <c r="J32" s="1933" t="s">
        <v>386</v>
      </c>
      <c r="K32" s="1934"/>
      <c r="L32" s="1934"/>
      <c r="M32" s="1934"/>
      <c r="N32" s="1935"/>
      <c r="P32"/>
      <c r="Q32"/>
      <c r="R32"/>
    </row>
    <row r="33" spans="1:18" ht="15" customHeight="1" thickBot="1">
      <c r="A33" s="667">
        <v>11.625</v>
      </c>
      <c r="B33" s="667">
        <v>94.163250000000005</v>
      </c>
      <c r="C33" s="667">
        <v>94.163250000000005</v>
      </c>
      <c r="D33" s="667">
        <v>94.163250000000005</v>
      </c>
      <c r="F33" s="722" t="s">
        <v>205</v>
      </c>
      <c r="G33" s="723">
        <v>30</v>
      </c>
      <c r="H33" s="724">
        <v>-0.25</v>
      </c>
      <c r="J33" s="698"/>
      <c r="K33" s="700"/>
      <c r="L33" s="698"/>
      <c r="M33" s="442"/>
      <c r="N33" s="442"/>
      <c r="P33"/>
      <c r="Q33"/>
      <c r="R33"/>
    </row>
    <row r="34" spans="1:18" ht="15">
      <c r="A34" s="667">
        <v>11.75</v>
      </c>
      <c r="B34" s="667">
        <v>94.413250000000005</v>
      </c>
      <c r="C34" s="667">
        <v>94.413250000000005</v>
      </c>
      <c r="D34" s="667">
        <v>94.413250000000005</v>
      </c>
      <c r="J34" s="1939" t="s">
        <v>388</v>
      </c>
      <c r="K34" s="1940"/>
      <c r="L34" s="1929" t="s">
        <v>389</v>
      </c>
      <c r="M34" s="1930"/>
      <c r="N34" s="1259">
        <v>125000</v>
      </c>
      <c r="P34"/>
      <c r="Q34"/>
      <c r="R34"/>
    </row>
    <row r="35" spans="1:18" ht="15.75" customHeight="1" thickBot="1">
      <c r="A35" s="692"/>
      <c r="B35" s="677"/>
      <c r="C35" s="677"/>
      <c r="D35" s="677"/>
      <c r="F35" s="710"/>
      <c r="G35" s="711"/>
      <c r="H35" s="695"/>
      <c r="J35" s="1939"/>
      <c r="K35" s="1940"/>
      <c r="L35" s="1929" t="s">
        <v>390</v>
      </c>
      <c r="M35" s="1930"/>
      <c r="N35" s="1259">
        <v>1500000</v>
      </c>
      <c r="P35"/>
      <c r="Q35"/>
      <c r="R35"/>
    </row>
    <row r="36" spans="1:18" ht="15.75" thickBot="1">
      <c r="A36" s="693" t="s">
        <v>412</v>
      </c>
      <c r="B36" s="694"/>
      <c r="C36" s="694"/>
      <c r="D36" s="712">
        <v>100.5</v>
      </c>
      <c r="H36" s="695"/>
      <c r="I36" s="695"/>
      <c r="J36" s="1939"/>
      <c r="K36" s="1940"/>
      <c r="L36" s="1929" t="s">
        <v>391</v>
      </c>
      <c r="M36" s="1930"/>
      <c r="N36" s="1259" t="s">
        <v>392</v>
      </c>
      <c r="P36"/>
      <c r="Q36"/>
      <c r="R36"/>
    </row>
    <row r="37" spans="1:18" ht="15.75" thickBot="1">
      <c r="A37" s="664"/>
      <c r="B37" s="664"/>
      <c r="C37" s="664"/>
      <c r="D37" s="696"/>
      <c r="J37" s="1941" t="s">
        <v>45</v>
      </c>
      <c r="K37" s="1942"/>
      <c r="L37" s="1943" t="s">
        <v>394</v>
      </c>
      <c r="M37" s="1944"/>
      <c r="N37" s="1260">
        <v>50</v>
      </c>
      <c r="P37"/>
      <c r="Q37"/>
      <c r="R37"/>
    </row>
    <row r="38" spans="1:18" ht="15.75" customHeight="1">
      <c r="J38" s="1939" t="s">
        <v>395</v>
      </c>
      <c r="K38" s="1940"/>
      <c r="L38" s="1929" t="s">
        <v>396</v>
      </c>
      <c r="M38" s="1930"/>
      <c r="N38" s="1261">
        <v>48</v>
      </c>
      <c r="P38"/>
      <c r="Q38"/>
      <c r="R38"/>
    </row>
    <row r="39" spans="1:18" ht="13.5" thickBot="1">
      <c r="J39" s="1945"/>
      <c r="K39" s="1946"/>
      <c r="L39" s="1931" t="s">
        <v>397</v>
      </c>
      <c r="M39" s="1932"/>
      <c r="N39" s="1262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04DE9378-091F-4FA3-81F0-11124F813AD2}">
          <x14:formula1>
            <xm:f>margins!#REF!</xm:f>
          </x14:formula1>
          <xm:sqref>Q13:Q19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28.7109375" style="936" bestFit="1" customWidth="1"/>
    <col min="3" max="3" width="14.85546875" style="936" customWidth="1"/>
    <col min="4" max="4" width="15.140625" style="936" customWidth="1"/>
    <col min="5" max="5" width="15.5703125" style="936" customWidth="1"/>
    <col min="6" max="6" width="16.85546875" style="936" customWidth="1"/>
    <col min="7" max="7" width="16.42578125" style="936" customWidth="1"/>
    <col min="8" max="8" width="14.7109375" style="936" customWidth="1"/>
    <col min="9" max="9" width="11.5703125" style="936" bestFit="1" customWidth="1"/>
    <col min="10" max="10" width="17.7109375" style="936" customWidth="1"/>
    <col min="11" max="11" width="15.28515625" style="936" customWidth="1"/>
    <col min="12" max="12" width="13.7109375" style="936" customWidth="1"/>
    <col min="13" max="13" width="4.140625" style="936" customWidth="1"/>
    <col min="14" max="14" width="9.140625" style="935" customWidth="1"/>
    <col min="15" max="15" width="19.85546875" style="935" customWidth="1"/>
    <col min="16" max="16" width="18.7109375" style="935" customWidth="1"/>
    <col min="17" max="17" width="16.5703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172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 thickBot="1">
      <c r="A10" s="1748" t="s">
        <v>309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901" t="s">
        <v>421</v>
      </c>
      <c r="P10" s="1902"/>
      <c r="Q10" s="1903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418"/>
      <c r="P11" s="418"/>
      <c r="Q11" s="418"/>
    </row>
    <row r="12" spans="1:17" s="936" customFormat="1" ht="15.75" thickBot="1">
      <c r="A12" s="1144"/>
      <c r="B12" s="1142"/>
      <c r="C12"/>
      <c r="D12"/>
      <c r="E12"/>
      <c r="F12" s="1143"/>
      <c r="G12" s="1142"/>
      <c r="H12" s="1142"/>
      <c r="I12" s="1142"/>
      <c r="J12" s="1142"/>
      <c r="K12" s="1142"/>
      <c r="L12" s="1142"/>
      <c r="M12" s="1165"/>
      <c r="O12" s="1275" t="s">
        <v>195</v>
      </c>
      <c r="P12" s="1275" t="s">
        <v>196</v>
      </c>
      <c r="Q12" s="1275" t="s">
        <v>197</v>
      </c>
    </row>
    <row r="13" spans="1:17" s="936" customFormat="1" ht="15.75" thickBot="1">
      <c r="A13" s="1129"/>
      <c r="B13" s="1901" t="s">
        <v>417</v>
      </c>
      <c r="C13" s="1902"/>
      <c r="D13" s="1902"/>
      <c r="E13" s="1903"/>
      <c r="G13" s="1081" t="s">
        <v>598</v>
      </c>
      <c r="H13" s="1080"/>
      <c r="J13"/>
      <c r="K13"/>
      <c r="L13"/>
      <c r="M13" s="940"/>
      <c r="O13" s="418"/>
      <c r="P13" s="418"/>
      <c r="Q13" s="418"/>
    </row>
    <row r="14" spans="1:17" s="936" customFormat="1" ht="15.75" thickBot="1">
      <c r="A14" s="1129"/>
      <c r="B14" s="1275" t="s">
        <v>211</v>
      </c>
      <c r="C14" s="1275" t="s">
        <v>212</v>
      </c>
      <c r="D14" s="1275" t="s">
        <v>13</v>
      </c>
      <c r="E14" s="1275" t="s">
        <v>387</v>
      </c>
      <c r="G14" s="1112" t="s">
        <v>8</v>
      </c>
      <c r="H14" s="1175">
        <v>0</v>
      </c>
      <c r="J14"/>
      <c r="K14"/>
      <c r="L14"/>
      <c r="M14" s="940"/>
      <c r="O14" s="427" t="s">
        <v>198</v>
      </c>
      <c r="P14" s="431" t="s">
        <v>192</v>
      </c>
      <c r="Q14" s="435"/>
    </row>
    <row r="15" spans="1:17" s="936" customFormat="1" ht="15.75" customHeight="1" thickBot="1">
      <c r="A15" s="1129"/>
      <c r="B15" s="1340">
        <v>8.625</v>
      </c>
      <c r="C15" s="1341">
        <v>88.551249999999996</v>
      </c>
      <c r="D15" s="1341">
        <v>88.551249999999996</v>
      </c>
      <c r="E15" s="1341">
        <v>88.551249999999996</v>
      </c>
      <c r="G15" s="1101" t="s">
        <v>10</v>
      </c>
      <c r="H15" s="1346">
        <v>-0.25</v>
      </c>
      <c r="J15"/>
      <c r="K15"/>
      <c r="L15"/>
      <c r="M15" s="940"/>
      <c r="O15" s="428" t="s">
        <v>199</v>
      </c>
      <c r="P15" s="432">
        <v>9.25</v>
      </c>
      <c r="Q15" s="436">
        <f>IF(P14="7/6 Arm",VLOOKUP(P15,$B$15:$E$41,3,FALSE),IF(P14="5/6 Arm",VLOOKUP(P15,$B$15:$E$41,2,FALSE),VLOOKUP(P15,$B$15:$E$41,4,FALSE)))</f>
        <v>89.801249999999996</v>
      </c>
    </row>
    <row r="16" spans="1:17" s="936" customFormat="1">
      <c r="A16" s="1129"/>
      <c r="B16" s="1318">
        <v>8.75</v>
      </c>
      <c r="C16" s="1341">
        <v>88.801249999999996</v>
      </c>
      <c r="D16" s="1341">
        <v>88.801249999999996</v>
      </c>
      <c r="E16" s="1341">
        <v>88.801249999999996</v>
      </c>
      <c r="G16"/>
      <c r="H16"/>
      <c r="J16"/>
      <c r="K16"/>
      <c r="L16"/>
      <c r="M16" s="940"/>
      <c r="O16" s="428" t="s">
        <v>353</v>
      </c>
      <c r="P16" s="432" t="s">
        <v>15</v>
      </c>
      <c r="Q16" s="436"/>
    </row>
    <row r="17" spans="1:17" s="936" customFormat="1" ht="15.75" thickBot="1">
      <c r="A17" s="1129"/>
      <c r="B17" s="1318">
        <v>8.875</v>
      </c>
      <c r="C17" s="1341">
        <v>89.051249999999996</v>
      </c>
      <c r="D17" s="1341">
        <v>89.051249999999996</v>
      </c>
      <c r="E17" s="1341">
        <v>89.051249999999996</v>
      </c>
      <c r="G17"/>
      <c r="H17"/>
      <c r="J17"/>
      <c r="K17"/>
      <c r="L17"/>
      <c r="M17" s="949"/>
      <c r="O17" s="428" t="s">
        <v>200</v>
      </c>
      <c r="P17" s="432" t="s">
        <v>291</v>
      </c>
      <c r="Q17" s="436">
        <f>IFERROR(INDEX($C$45:$I$49,MATCH(P17,$B$45:$B$49,0),MATCH($Q$11,$C$44:$I$44,0),1),0)</f>
        <v>0</v>
      </c>
    </row>
    <row r="18" spans="1:17" s="936" customFormat="1" ht="15" customHeight="1">
      <c r="A18" s="1129"/>
      <c r="B18" s="1318">
        <v>9</v>
      </c>
      <c r="C18" s="1341">
        <v>89.301249999999996</v>
      </c>
      <c r="D18" s="1341">
        <v>89.301249999999996</v>
      </c>
      <c r="E18" s="1341">
        <v>89.301249999999996</v>
      </c>
      <c r="G18" s="1765" t="s">
        <v>405</v>
      </c>
      <c r="H18" s="1766"/>
      <c r="I18" s="1766"/>
      <c r="J18" s="1766"/>
      <c r="K18" s="1766"/>
      <c r="L18" s="1767"/>
      <c r="M18" s="940"/>
      <c r="O18" s="428" t="s">
        <v>429</v>
      </c>
      <c r="P18" s="432" t="s">
        <v>191</v>
      </c>
      <c r="Q18" s="436">
        <f t="shared" ref="Q18:Q24" si="0">IFERROR(INDEX($C$53:$I$62,MATCH(P18,$B$53:$B$62,0),MATCH($Q$11,$C$52:$I$52,0),1),0)</f>
        <v>0</v>
      </c>
    </row>
    <row r="19" spans="1:17" s="936" customFormat="1">
      <c r="A19" s="1129"/>
      <c r="B19" s="1318">
        <v>9.125</v>
      </c>
      <c r="C19" s="1341">
        <v>89.551249999999996</v>
      </c>
      <c r="D19" s="1341">
        <v>89.551249999999996</v>
      </c>
      <c r="E19" s="1341">
        <v>89.551249999999996</v>
      </c>
      <c r="G19" s="1347" t="s">
        <v>406</v>
      </c>
      <c r="H19" s="1953" t="s">
        <v>407</v>
      </c>
      <c r="I19" s="1954"/>
      <c r="J19" s="1954"/>
      <c r="K19" s="1954"/>
      <c r="L19" s="1955"/>
      <c r="M19" s="940"/>
      <c r="O19" s="428" t="s">
        <v>63</v>
      </c>
      <c r="P19" s="432" t="s">
        <v>191</v>
      </c>
      <c r="Q19" s="436">
        <f t="shared" si="0"/>
        <v>0</v>
      </c>
    </row>
    <row r="20" spans="1:17" s="936" customFormat="1" ht="15.75" thickBot="1">
      <c r="A20" s="1129"/>
      <c r="B20" s="1318">
        <v>9.25</v>
      </c>
      <c r="C20" s="1341">
        <v>89.801249999999996</v>
      </c>
      <c r="D20" s="1341">
        <v>89.801249999999996</v>
      </c>
      <c r="E20" s="1341">
        <v>89.801249999999996</v>
      </c>
      <c r="G20" s="1348" t="s">
        <v>408</v>
      </c>
      <c r="H20" s="1956" t="s">
        <v>409</v>
      </c>
      <c r="I20" s="1957"/>
      <c r="J20" s="1957"/>
      <c r="K20" s="1957"/>
      <c r="L20" s="1958"/>
      <c r="M20" s="940"/>
      <c r="O20" s="428" t="s">
        <v>418</v>
      </c>
      <c r="P20" s="432" t="s">
        <v>191</v>
      </c>
      <c r="Q20" s="436">
        <f t="shared" si="0"/>
        <v>0</v>
      </c>
    </row>
    <row r="21" spans="1:17" s="936" customFormat="1" ht="15" customHeight="1">
      <c r="A21" s="1129"/>
      <c r="B21" s="1318">
        <v>9.375</v>
      </c>
      <c r="C21" s="1341">
        <v>90.051249999999996</v>
      </c>
      <c r="D21" s="1341">
        <v>90.051249999999996</v>
      </c>
      <c r="E21" s="1341">
        <v>90.051249999999996</v>
      </c>
      <c r="G21"/>
      <c r="H21"/>
      <c r="I21" s="1084"/>
      <c r="M21" s="940"/>
      <c r="O21" s="428" t="s">
        <v>45</v>
      </c>
      <c r="P21" s="432" t="s">
        <v>191</v>
      </c>
      <c r="Q21" s="436">
        <f t="shared" si="0"/>
        <v>0</v>
      </c>
    </row>
    <row r="22" spans="1:17" s="936" customFormat="1" ht="15.75" thickBot="1">
      <c r="A22" s="1129"/>
      <c r="B22" s="1318">
        <v>9.5</v>
      </c>
      <c r="C22" s="1341">
        <v>90.301249999999996</v>
      </c>
      <c r="D22" s="1341">
        <v>90.301249999999996</v>
      </c>
      <c r="E22" s="1341">
        <v>90.301249999999996</v>
      </c>
      <c r="G22"/>
      <c r="H22"/>
      <c r="M22" s="940"/>
      <c r="O22" s="428" t="s">
        <v>348</v>
      </c>
      <c r="P22" s="432" t="s">
        <v>191</v>
      </c>
      <c r="Q22" s="436">
        <f t="shared" si="0"/>
        <v>0</v>
      </c>
    </row>
    <row r="23" spans="1:17" s="936" customFormat="1" ht="15.75" thickBot="1">
      <c r="A23" s="1082"/>
      <c r="B23" s="1318">
        <v>9.625</v>
      </c>
      <c r="C23" s="1341">
        <v>90.551249999999996</v>
      </c>
      <c r="D23" s="1341">
        <v>90.551249999999996</v>
      </c>
      <c r="E23" s="1341">
        <v>90.551249999999996</v>
      </c>
      <c r="G23" s="1901" t="s">
        <v>386</v>
      </c>
      <c r="H23" s="1902"/>
      <c r="I23" s="1902"/>
      <c r="J23" s="1902"/>
      <c r="K23" s="1902"/>
      <c r="L23" s="1903"/>
      <c r="M23" s="1311"/>
      <c r="O23" s="428" t="s">
        <v>419</v>
      </c>
      <c r="P23" s="432" t="s">
        <v>191</v>
      </c>
      <c r="Q23" s="436">
        <f t="shared" si="0"/>
        <v>0</v>
      </c>
    </row>
    <row r="24" spans="1:17" s="936" customFormat="1" ht="14.25" customHeight="1">
      <c r="A24" s="1082"/>
      <c r="B24" s="1318">
        <v>9.75</v>
      </c>
      <c r="C24" s="1341">
        <v>90.801249999999996</v>
      </c>
      <c r="D24" s="1341">
        <v>90.801249999999996</v>
      </c>
      <c r="E24" s="1341">
        <v>90.801249999999996</v>
      </c>
      <c r="G24" s="1947" t="s">
        <v>388</v>
      </c>
      <c r="H24" s="1948"/>
      <c r="I24" s="1975" t="s">
        <v>389</v>
      </c>
      <c r="J24" s="1976"/>
      <c r="K24" s="1959">
        <v>125000</v>
      </c>
      <c r="L24" s="1960"/>
      <c r="M24" s="1316"/>
      <c r="O24" s="428" t="s">
        <v>420</v>
      </c>
      <c r="P24" s="432" t="s">
        <v>191</v>
      </c>
      <c r="Q24" s="436">
        <f t="shared" si="0"/>
        <v>0</v>
      </c>
    </row>
    <row r="25" spans="1:17" s="936" customFormat="1">
      <c r="A25" s="1082"/>
      <c r="B25" s="1318">
        <v>9.875</v>
      </c>
      <c r="C25" s="1341">
        <v>91.051249999999996</v>
      </c>
      <c r="D25" s="1341">
        <v>91.051249999999996</v>
      </c>
      <c r="E25" s="1341">
        <v>91.051249999999996</v>
      </c>
      <c r="G25" s="1949"/>
      <c r="H25" s="1950"/>
      <c r="I25" s="1977" t="s">
        <v>390</v>
      </c>
      <c r="J25" s="1978"/>
      <c r="K25" s="1961">
        <v>1500000</v>
      </c>
      <c r="L25" s="1962"/>
      <c r="M25" s="1316"/>
      <c r="O25" s="428" t="s">
        <v>205</v>
      </c>
      <c r="P25" s="432">
        <v>30</v>
      </c>
      <c r="Q25" s="436">
        <f>IF(P25=15,0,IF(P25=30,H15))</f>
        <v>-0.25</v>
      </c>
    </row>
    <row r="26" spans="1:17" s="936" customFormat="1" ht="14.25" customHeight="1" thickBot="1">
      <c r="A26" s="1082"/>
      <c r="B26" s="1318">
        <v>10</v>
      </c>
      <c r="C26" s="1341">
        <v>91.301249999999996</v>
      </c>
      <c r="D26" s="1341">
        <v>91.301249999999996</v>
      </c>
      <c r="E26" s="1341">
        <v>91.301249999999996</v>
      </c>
      <c r="G26" s="1949"/>
      <c r="H26" s="1950"/>
      <c r="I26" s="1979" t="s">
        <v>391</v>
      </c>
      <c r="J26" s="1980"/>
      <c r="K26" s="1969" t="s">
        <v>392</v>
      </c>
      <c r="L26" s="1970"/>
      <c r="M26" s="1316"/>
      <c r="O26" s="429" t="s">
        <v>206</v>
      </c>
      <c r="P26" s="433"/>
      <c r="Q26" s="437">
        <f>Q17+Q18+Q19+Q20+Q21+Q22+Q23+Q24+Q25</f>
        <v>-0.25</v>
      </c>
    </row>
    <row r="27" spans="1:17" s="936" customFormat="1" ht="15.75" thickBot="1">
      <c r="A27" s="1082"/>
      <c r="B27" s="1318">
        <v>10.125</v>
      </c>
      <c r="C27" s="1341">
        <v>91.551249999999996</v>
      </c>
      <c r="D27" s="1341">
        <v>91.551249999999996</v>
      </c>
      <c r="E27" s="1341">
        <v>91.551249999999996</v>
      </c>
      <c r="G27" s="1951" t="s">
        <v>45</v>
      </c>
      <c r="H27" s="1952"/>
      <c r="I27" s="1981" t="s">
        <v>394</v>
      </c>
      <c r="J27" s="1982"/>
      <c r="K27" s="1967">
        <v>50</v>
      </c>
      <c r="L27" s="1968"/>
      <c r="M27" s="1316"/>
      <c r="O27" s="420"/>
      <c r="P27" s="421"/>
      <c r="Q27" s="430"/>
    </row>
    <row r="28" spans="1:17" s="936" customFormat="1" ht="14.25" customHeight="1" thickBot="1">
      <c r="A28" s="1082"/>
      <c r="B28" s="1318">
        <v>10.25</v>
      </c>
      <c r="C28" s="1341">
        <v>91.801249999999996</v>
      </c>
      <c r="D28" s="1341">
        <v>91.801249999999996</v>
      </c>
      <c r="E28" s="1341">
        <v>91.801249999999996</v>
      </c>
      <c r="G28" s="1949" t="s">
        <v>395</v>
      </c>
      <c r="H28" s="1950"/>
      <c r="I28" s="1983" t="s">
        <v>396</v>
      </c>
      <c r="J28" s="1984"/>
      <c r="K28" s="1965">
        <v>48</v>
      </c>
      <c r="L28" s="1966"/>
      <c r="M28" s="1316"/>
      <c r="O28" s="422" t="s">
        <v>207</v>
      </c>
      <c r="P28" s="423"/>
      <c r="Q28" s="584">
        <f>IF(ISNUMBER(MATCH("NA", Q17:Q24, 0)), "NA",MIN(Q26+Q15,C41))</f>
        <v>89.551249999999996</v>
      </c>
    </row>
    <row r="29" spans="1:17" s="936" customFormat="1" ht="15.75" thickBot="1">
      <c r="A29" s="1082"/>
      <c r="B29" s="1318">
        <v>10.375</v>
      </c>
      <c r="C29" s="1341">
        <v>92.051249999999996</v>
      </c>
      <c r="D29" s="1341">
        <v>92.051249999999996</v>
      </c>
      <c r="E29" s="1341">
        <v>92.051249999999996</v>
      </c>
      <c r="G29" s="1971"/>
      <c r="H29" s="1972"/>
      <c r="I29" s="1973" t="s">
        <v>397</v>
      </c>
      <c r="J29" s="1974"/>
      <c r="K29" s="1963">
        <v>0.75</v>
      </c>
      <c r="L29" s="1964"/>
      <c r="M29" s="1316"/>
      <c r="O29" s="417"/>
      <c r="P29" s="417"/>
      <c r="Q29" s="417"/>
    </row>
    <row r="30" spans="1:17" s="936" customFormat="1" ht="15.75" thickBot="1">
      <c r="A30" s="1082"/>
      <c r="B30" s="1318">
        <v>10.5</v>
      </c>
      <c r="C30" s="1341">
        <v>92.301249999999996</v>
      </c>
      <c r="D30" s="1341">
        <v>92.301249999999996</v>
      </c>
      <c r="E30" s="1341">
        <v>92.301249999999996</v>
      </c>
      <c r="L30"/>
      <c r="M30" s="1312"/>
      <c r="O30" s="746" t="s">
        <v>422</v>
      </c>
      <c r="P30" s="747"/>
      <c r="Q30" s="748"/>
    </row>
    <row r="31" spans="1:17" s="936" customFormat="1" ht="15.75" thickBot="1">
      <c r="A31" s="1082"/>
      <c r="B31" s="1318">
        <v>10.625</v>
      </c>
      <c r="C31" s="1341">
        <v>92.551249999999996</v>
      </c>
      <c r="D31" s="1341">
        <v>92.551249999999996</v>
      </c>
      <c r="E31" s="1341">
        <v>92.551249999999996</v>
      </c>
      <c r="G31"/>
      <c r="H31"/>
      <c r="I31"/>
      <c r="J31"/>
      <c r="K31"/>
      <c r="L31"/>
      <c r="M31" s="1312"/>
      <c r="O31" s="746" t="s">
        <v>447</v>
      </c>
      <c r="P31" s="747"/>
      <c r="Q31" s="748"/>
    </row>
    <row r="32" spans="1:17" s="936" customFormat="1">
      <c r="A32" s="1082"/>
      <c r="B32" s="1318">
        <v>10.75</v>
      </c>
      <c r="C32" s="1341">
        <v>92.801249999999996</v>
      </c>
      <c r="D32" s="1341">
        <v>92.801249999999996</v>
      </c>
      <c r="E32" s="1341">
        <v>92.801249999999996</v>
      </c>
      <c r="G32"/>
      <c r="H32"/>
      <c r="I32"/>
      <c r="J32"/>
      <c r="K32"/>
      <c r="M32" s="940"/>
    </row>
    <row r="33" spans="1:13" s="936" customFormat="1">
      <c r="A33" s="1082"/>
      <c r="B33" s="1318">
        <v>10.875</v>
      </c>
      <c r="C33" s="1341">
        <v>93.051249999999996</v>
      </c>
      <c r="D33" s="1341">
        <v>93.051249999999996</v>
      </c>
      <c r="E33" s="1341">
        <v>93.051249999999996</v>
      </c>
      <c r="G33"/>
      <c r="H33"/>
      <c r="I33"/>
      <c r="J33"/>
      <c r="K33"/>
      <c r="M33" s="940"/>
    </row>
    <row r="34" spans="1:13" s="936" customFormat="1">
      <c r="A34" s="1082"/>
      <c r="B34" s="1318">
        <v>11</v>
      </c>
      <c r="C34" s="1341">
        <v>93.301249999999996</v>
      </c>
      <c r="D34" s="1341">
        <v>93.301249999999996</v>
      </c>
      <c r="E34" s="1341">
        <v>93.301249999999996</v>
      </c>
      <c r="G34"/>
      <c r="H34"/>
      <c r="I34"/>
      <c r="J34"/>
      <c r="K34"/>
      <c r="M34" s="940"/>
    </row>
    <row r="35" spans="1:13" s="936" customFormat="1">
      <c r="A35" s="1082"/>
      <c r="B35" s="1318">
        <v>11.125</v>
      </c>
      <c r="C35" s="1341">
        <v>93.551249999999996</v>
      </c>
      <c r="D35" s="1341">
        <v>93.551249999999996</v>
      </c>
      <c r="E35" s="1341">
        <v>93.551249999999996</v>
      </c>
      <c r="M35" s="940"/>
    </row>
    <row r="36" spans="1:13" s="936" customFormat="1">
      <c r="A36" s="1082"/>
      <c r="B36" s="1318">
        <v>11.25</v>
      </c>
      <c r="C36" s="1341">
        <v>93.801249999999996</v>
      </c>
      <c r="D36" s="1341">
        <v>93.801249999999996</v>
      </c>
      <c r="E36" s="1341">
        <v>93.801249999999996</v>
      </c>
      <c r="M36" s="940"/>
    </row>
    <row r="37" spans="1:13" s="936" customFormat="1">
      <c r="A37" s="1082"/>
      <c r="B37" s="1318">
        <v>11.375</v>
      </c>
      <c r="C37" s="1341">
        <v>94.051249999999996</v>
      </c>
      <c r="D37" s="1341">
        <v>94.051249999999996</v>
      </c>
      <c r="E37" s="1341">
        <v>94.051249999999996</v>
      </c>
      <c r="M37" s="940"/>
    </row>
    <row r="38" spans="1:13" s="936" customFormat="1">
      <c r="A38" s="1082"/>
      <c r="B38" s="1318">
        <v>11.5</v>
      </c>
      <c r="C38" s="1341">
        <v>94.301249999999996</v>
      </c>
      <c r="D38" s="1341">
        <v>94.301249999999996</v>
      </c>
      <c r="E38" s="1341">
        <v>94.301249999999996</v>
      </c>
      <c r="M38" s="940"/>
    </row>
    <row r="39" spans="1:13" s="936" customFormat="1">
      <c r="A39" s="1082"/>
      <c r="B39" s="1318">
        <v>11.625</v>
      </c>
      <c r="C39" s="1341">
        <v>94.551249999999996</v>
      </c>
      <c r="D39" s="1341">
        <v>94.551249999999996</v>
      </c>
      <c r="E39" s="1341">
        <v>94.551249999999996</v>
      </c>
      <c r="M39" s="940"/>
    </row>
    <row r="40" spans="1:13" s="936" customFormat="1" ht="15.75" thickBot="1">
      <c r="A40" s="1082"/>
      <c r="B40" s="1328">
        <v>11.75</v>
      </c>
      <c r="C40" s="1342">
        <v>94.801249999999996</v>
      </c>
      <c r="D40" s="1342">
        <v>94.801249999999996</v>
      </c>
      <c r="E40" s="1342">
        <v>94.801249999999996</v>
      </c>
      <c r="M40" s="940"/>
    </row>
    <row r="41" spans="1:13" s="936" customFormat="1">
      <c r="A41" s="1082"/>
      <c r="B41"/>
      <c r="C41"/>
      <c r="D41"/>
      <c r="E41"/>
      <c r="F41"/>
      <c r="G41"/>
      <c r="M41" s="940"/>
    </row>
    <row r="42" spans="1:13" s="936" customFormat="1" ht="15.75" thickBot="1">
      <c r="A42" s="1082"/>
      <c r="B42"/>
      <c r="C42"/>
      <c r="D42"/>
      <c r="E42"/>
      <c r="F42"/>
      <c r="G42"/>
      <c r="M42" s="940"/>
    </row>
    <row r="43" spans="1:13" s="936" customFormat="1" ht="15" customHeight="1" thickBot="1">
      <c r="A43" s="1082"/>
      <c r="B43" s="1081" t="s">
        <v>216</v>
      </c>
      <c r="C43" s="1736" t="s">
        <v>298</v>
      </c>
      <c r="D43" s="1737"/>
      <c r="E43" s="1737"/>
      <c r="F43" s="1737"/>
      <c r="G43" s="1737"/>
      <c r="H43" s="1737"/>
      <c r="I43" s="1738"/>
      <c r="K43"/>
      <c r="L43"/>
      <c r="M43" s="1279"/>
    </row>
    <row r="44" spans="1:13" s="936" customFormat="1" ht="15.75" thickBot="1">
      <c r="A44" s="1082"/>
      <c r="B44" s="1349" t="s">
        <v>191</v>
      </c>
      <c r="C44" s="1101" t="s">
        <v>15</v>
      </c>
      <c r="D44" s="1271" t="s">
        <v>16</v>
      </c>
      <c r="E44" s="1271" t="s">
        <v>17</v>
      </c>
      <c r="F44" s="1271" t="s">
        <v>18</v>
      </c>
      <c r="G44" s="1271" t="s">
        <v>19</v>
      </c>
      <c r="H44" s="1271" t="s">
        <v>20</v>
      </c>
      <c r="I44" s="1285" t="s">
        <v>21</v>
      </c>
      <c r="K44"/>
      <c r="L44"/>
      <c r="M44" s="1279"/>
    </row>
    <row r="45" spans="1:13" s="936" customFormat="1">
      <c r="A45" s="1082"/>
      <c r="B45" s="1272" t="s">
        <v>111</v>
      </c>
      <c r="C45" s="1092">
        <v>0.25</v>
      </c>
      <c r="D45" s="1091">
        <v>0.25</v>
      </c>
      <c r="E45" s="1091">
        <v>0.25</v>
      </c>
      <c r="F45" s="1091">
        <v>0.125</v>
      </c>
      <c r="G45" s="1091">
        <v>0</v>
      </c>
      <c r="H45" s="1091">
        <v>-0.5</v>
      </c>
      <c r="I45" s="1090">
        <v>-2.5</v>
      </c>
      <c r="K45"/>
      <c r="L45"/>
      <c r="M45" s="1279"/>
    </row>
    <row r="46" spans="1:13" s="936" customFormat="1">
      <c r="A46" s="1082"/>
      <c r="B46" s="1273" t="s">
        <v>292</v>
      </c>
      <c r="C46" s="1095">
        <v>0.125</v>
      </c>
      <c r="D46" s="1094">
        <v>0.125</v>
      </c>
      <c r="E46" s="1094">
        <v>0.125</v>
      </c>
      <c r="F46" s="1094">
        <v>0</v>
      </c>
      <c r="G46" s="1094">
        <v>-0.25</v>
      </c>
      <c r="H46" s="1094">
        <v>-0.625</v>
      </c>
      <c r="I46" s="1093">
        <v>-3</v>
      </c>
      <c r="K46"/>
      <c r="L46"/>
      <c r="M46" s="1279"/>
    </row>
    <row r="47" spans="1:13" s="936" customFormat="1">
      <c r="A47" s="1082"/>
      <c r="B47" s="1273" t="s">
        <v>291</v>
      </c>
      <c r="C47" s="1095">
        <v>0</v>
      </c>
      <c r="D47" s="1094">
        <v>0</v>
      </c>
      <c r="E47" s="1094">
        <v>-0.125</v>
      </c>
      <c r="F47" s="1094">
        <v>-0.25</v>
      </c>
      <c r="G47" s="1094">
        <v>-0.625</v>
      </c>
      <c r="H47" s="1094">
        <v>-1</v>
      </c>
      <c r="I47" s="1093" t="s">
        <v>14</v>
      </c>
      <c r="K47"/>
      <c r="L47"/>
      <c r="M47" s="1279"/>
    </row>
    <row r="48" spans="1:13" s="936" customFormat="1">
      <c r="A48" s="1082"/>
      <c r="B48" s="1273" t="s">
        <v>290</v>
      </c>
      <c r="C48" s="1095">
        <v>-0.125</v>
      </c>
      <c r="D48" s="1094">
        <v>-0.25</v>
      </c>
      <c r="E48" s="1094">
        <v>-0.375</v>
      </c>
      <c r="F48" s="1094">
        <v>-0.5</v>
      </c>
      <c r="G48" s="1094">
        <v>-0.75</v>
      </c>
      <c r="H48" s="1094" t="s">
        <v>14</v>
      </c>
      <c r="I48" s="1093" t="s">
        <v>14</v>
      </c>
      <c r="K48"/>
      <c r="L48"/>
      <c r="M48" s="1279"/>
    </row>
    <row r="49" spans="1:13" s="936" customFormat="1" ht="15.75" thickBot="1">
      <c r="A49" s="1082"/>
      <c r="B49" s="1089" t="s">
        <v>289</v>
      </c>
      <c r="C49" s="1157">
        <v>-0.5</v>
      </c>
      <c r="D49" s="1156">
        <v>-0.875</v>
      </c>
      <c r="E49" s="1156">
        <v>-1.125</v>
      </c>
      <c r="F49" s="1156">
        <v>-1.5</v>
      </c>
      <c r="G49" s="1156" t="s">
        <v>14</v>
      </c>
      <c r="H49" s="1156" t="s">
        <v>14</v>
      </c>
      <c r="I49" s="1155" t="s">
        <v>14</v>
      </c>
      <c r="K49"/>
      <c r="L49"/>
      <c r="M49" s="1279"/>
    </row>
    <row r="50" spans="1:13" customFormat="1" ht="15.75" thickBot="1">
      <c r="A50" s="1350"/>
      <c r="M50" s="1327"/>
    </row>
    <row r="51" spans="1:13" customFormat="1" ht="15.75" thickBot="1">
      <c r="A51" s="1350"/>
      <c r="B51" s="1081" t="s">
        <v>704</v>
      </c>
      <c r="C51" s="1736" t="s">
        <v>298</v>
      </c>
      <c r="D51" s="1737"/>
      <c r="E51" s="1737"/>
      <c r="F51" s="1737"/>
      <c r="G51" s="1737"/>
      <c r="H51" s="1737"/>
      <c r="I51" s="1738"/>
      <c r="M51" s="1327"/>
    </row>
    <row r="52" spans="1:13" customFormat="1" ht="15.75" thickBot="1">
      <c r="A52" s="1350"/>
      <c r="B52" s="1349" t="s">
        <v>191</v>
      </c>
      <c r="C52" s="1101" t="s">
        <v>15</v>
      </c>
      <c r="D52" s="1271" t="s">
        <v>16</v>
      </c>
      <c r="E52" s="1271" t="s">
        <v>17</v>
      </c>
      <c r="F52" s="1271" t="s">
        <v>18</v>
      </c>
      <c r="G52" s="1271" t="s">
        <v>19</v>
      </c>
      <c r="H52" s="1271" t="s">
        <v>20</v>
      </c>
      <c r="I52" s="1285" t="s">
        <v>21</v>
      </c>
      <c r="M52" s="1327"/>
    </row>
    <row r="53" spans="1:13" s="936" customFormat="1">
      <c r="A53" s="1082"/>
      <c r="B53" s="1272" t="s">
        <v>399</v>
      </c>
      <c r="C53" s="1092">
        <v>0</v>
      </c>
      <c r="D53" s="1091">
        <v>0</v>
      </c>
      <c r="E53" s="1091">
        <v>0</v>
      </c>
      <c r="F53" s="1091">
        <v>0</v>
      </c>
      <c r="G53" s="1091">
        <v>0</v>
      </c>
      <c r="H53" s="1091">
        <v>0</v>
      </c>
      <c r="I53" s="1090">
        <v>0</v>
      </c>
      <c r="K53"/>
      <c r="L53"/>
      <c r="M53" s="940"/>
    </row>
    <row r="54" spans="1:13" s="936" customFormat="1" ht="15" customHeight="1">
      <c r="A54" s="1082"/>
      <c r="B54" s="1273" t="s">
        <v>707</v>
      </c>
      <c r="C54" s="1173">
        <v>-0.25</v>
      </c>
      <c r="D54" s="1172">
        <v>-0.25</v>
      </c>
      <c r="E54" s="1172">
        <v>-0.25</v>
      </c>
      <c r="F54" s="1172">
        <v>-0.25</v>
      </c>
      <c r="G54" s="1172">
        <v>-0.25</v>
      </c>
      <c r="H54" s="1172">
        <v>-0.25</v>
      </c>
      <c r="I54" s="1171">
        <v>-0.5</v>
      </c>
      <c r="K54"/>
      <c r="L54"/>
      <c r="M54" s="940"/>
    </row>
    <row r="55" spans="1:13" s="936" customFormat="1" ht="15" customHeight="1">
      <c r="A55" s="1082"/>
      <c r="B55" s="1273" t="s">
        <v>88</v>
      </c>
      <c r="C55" s="1095">
        <v>-0.25</v>
      </c>
      <c r="D55" s="1094">
        <v>-0.25</v>
      </c>
      <c r="E55" s="1094">
        <v>-0.375</v>
      </c>
      <c r="F55" s="1094">
        <v>-0.5</v>
      </c>
      <c r="G55" s="1094">
        <v>-0.625</v>
      </c>
      <c r="H55" s="1094">
        <v>-0.75</v>
      </c>
      <c r="I55" s="1093">
        <v>-1</v>
      </c>
      <c r="K55"/>
      <c r="L55"/>
      <c r="M55" s="940"/>
    </row>
    <row r="56" spans="1:13" s="936" customFormat="1" ht="15" customHeight="1">
      <c r="A56" s="1082"/>
      <c r="B56" s="1273" t="s">
        <v>63</v>
      </c>
      <c r="C56" s="1095">
        <v>-0.25</v>
      </c>
      <c r="D56" s="1094">
        <v>-0.25</v>
      </c>
      <c r="E56" s="1094">
        <v>-0.25</v>
      </c>
      <c r="F56" s="1094">
        <v>-0.25</v>
      </c>
      <c r="G56" s="1094">
        <v>-0.25</v>
      </c>
      <c r="H56" s="1094">
        <v>-0.5</v>
      </c>
      <c r="I56" s="1093">
        <v>-0.5</v>
      </c>
      <c r="K56"/>
      <c r="L56"/>
      <c r="M56" s="940"/>
    </row>
    <row r="57" spans="1:13" s="936" customFormat="1" ht="15" customHeight="1">
      <c r="A57" s="1082"/>
      <c r="B57" s="1273" t="s">
        <v>400</v>
      </c>
      <c r="C57" s="1095">
        <v>-0.25</v>
      </c>
      <c r="D57" s="1094">
        <v>-0.25</v>
      </c>
      <c r="E57" s="1094">
        <v>-0.25</v>
      </c>
      <c r="F57" s="1094">
        <v>-0.25</v>
      </c>
      <c r="G57" s="1094">
        <v>-0.5</v>
      </c>
      <c r="H57" s="1094">
        <v>-0.5</v>
      </c>
      <c r="I57" s="1093" t="s">
        <v>14</v>
      </c>
      <c r="K57"/>
      <c r="L57"/>
      <c r="M57" s="940"/>
    </row>
    <row r="58" spans="1:13" s="936" customFormat="1" ht="15" customHeight="1">
      <c r="A58" s="1082"/>
      <c r="B58" s="1273" t="s">
        <v>348</v>
      </c>
      <c r="C58" s="1095">
        <v>-0.25</v>
      </c>
      <c r="D58" s="1094">
        <v>-0.25</v>
      </c>
      <c r="E58" s="1094">
        <v>-0.5</v>
      </c>
      <c r="F58" s="1094">
        <v>-0.5</v>
      </c>
      <c r="G58" s="1094">
        <v>-0.5</v>
      </c>
      <c r="H58" s="1094">
        <v>-0.5</v>
      </c>
      <c r="I58" s="1093">
        <v>-0.75</v>
      </c>
      <c r="K58"/>
      <c r="L58"/>
      <c r="M58" s="940"/>
    </row>
    <row r="59" spans="1:13" s="936" customFormat="1" ht="15" customHeight="1">
      <c r="A59" s="1082"/>
      <c r="B59" s="1273" t="s">
        <v>401</v>
      </c>
      <c r="C59" s="1095">
        <v>-0.25</v>
      </c>
      <c r="D59" s="1094">
        <v>-0.25</v>
      </c>
      <c r="E59" s="1094">
        <v>-0.25</v>
      </c>
      <c r="F59" s="1094">
        <v>-0.25</v>
      </c>
      <c r="G59" s="1094">
        <v>-0.25</v>
      </c>
      <c r="H59" s="1094">
        <v>-0.25</v>
      </c>
      <c r="I59" s="1093" t="s">
        <v>14</v>
      </c>
      <c r="K59"/>
      <c r="L59"/>
      <c r="M59" s="940"/>
    </row>
    <row r="60" spans="1:13" s="936" customFormat="1" ht="15" customHeight="1">
      <c r="A60" s="1082"/>
      <c r="B60" s="1273" t="s">
        <v>402</v>
      </c>
      <c r="C60" s="1095">
        <v>-0.5</v>
      </c>
      <c r="D60" s="1094">
        <v>-0.5</v>
      </c>
      <c r="E60" s="1094">
        <v>-0.5</v>
      </c>
      <c r="F60" s="1094">
        <v>-0.5</v>
      </c>
      <c r="G60" s="1094">
        <v>-0.75</v>
      </c>
      <c r="H60" s="1094">
        <v>-0.75</v>
      </c>
      <c r="I60" s="1093">
        <v>-1.25</v>
      </c>
      <c r="K60"/>
      <c r="L60"/>
      <c r="M60" s="940"/>
    </row>
    <row r="61" spans="1:13" s="936" customFormat="1" ht="15" customHeight="1">
      <c r="A61" s="1082"/>
      <c r="B61" s="1273" t="s">
        <v>403</v>
      </c>
      <c r="C61" s="1095">
        <v>-0.25</v>
      </c>
      <c r="D61" s="1094">
        <v>-0.25</v>
      </c>
      <c r="E61" s="1094">
        <v>-0.25</v>
      </c>
      <c r="F61" s="1094">
        <v>-0.25</v>
      </c>
      <c r="G61" s="1094">
        <v>-0.5</v>
      </c>
      <c r="H61" s="1094">
        <v>-0.75</v>
      </c>
      <c r="I61" s="1093">
        <v>-1</v>
      </c>
      <c r="K61"/>
      <c r="L61"/>
      <c r="M61" s="940"/>
    </row>
    <row r="62" spans="1:13" s="936" customFormat="1" ht="15.75" thickBot="1">
      <c r="A62" s="1082"/>
      <c r="B62" s="1089" t="s">
        <v>404</v>
      </c>
      <c r="C62" s="1157">
        <v>0</v>
      </c>
      <c r="D62" s="1156">
        <v>0</v>
      </c>
      <c r="E62" s="1156">
        <v>0</v>
      </c>
      <c r="F62" s="1156">
        <v>-0.25</v>
      </c>
      <c r="G62" s="1156">
        <v>-0.5</v>
      </c>
      <c r="H62" s="1156">
        <v>-0.75</v>
      </c>
      <c r="I62" s="1155" t="s">
        <v>14</v>
      </c>
      <c r="K62"/>
      <c r="L62"/>
      <c r="M62" s="940"/>
    </row>
    <row r="63" spans="1:13" s="936" customFormat="1">
      <c r="A63" s="1082"/>
      <c r="B63"/>
      <c r="C63"/>
      <c r="D63"/>
      <c r="E63"/>
      <c r="F63"/>
      <c r="G63"/>
      <c r="H63"/>
      <c r="I63"/>
      <c r="M63" s="940"/>
    </row>
    <row r="64" spans="1:13" s="936" customFormat="1">
      <c r="A64" s="1082"/>
      <c r="M64" s="940"/>
    </row>
    <row r="65" spans="1:13" s="936" customFormat="1">
      <c r="A65" s="1082"/>
      <c r="M65" s="940"/>
    </row>
    <row r="66" spans="1:13" s="936" customFormat="1">
      <c r="A66" s="1082"/>
      <c r="M66" s="940"/>
    </row>
    <row r="67" spans="1:13" s="936" customFormat="1">
      <c r="A67" s="1082"/>
      <c r="M67" s="940"/>
    </row>
    <row r="68" spans="1:13" s="936" customFormat="1">
      <c r="A68" s="1082"/>
      <c r="M68" s="940"/>
    </row>
    <row r="69" spans="1:13" s="936" customFormat="1">
      <c r="A69" s="1082"/>
      <c r="M69" s="940"/>
    </row>
    <row r="70" spans="1:13" s="936" customFormat="1">
      <c r="A70" s="1082"/>
      <c r="M70" s="940"/>
    </row>
    <row r="71" spans="1:13" s="936" customFormat="1">
      <c r="A71" s="1082"/>
      <c r="M71" s="940"/>
    </row>
    <row r="72" spans="1:13" s="936" customFormat="1">
      <c r="A72" s="1082"/>
      <c r="M72" s="940"/>
    </row>
    <row r="73" spans="1:13" s="936" customFormat="1">
      <c r="A73" s="1082"/>
      <c r="M73" s="940"/>
    </row>
    <row r="74" spans="1:13" s="936" customFormat="1">
      <c r="A74" s="1082"/>
      <c r="M74" s="940"/>
    </row>
    <row r="75" spans="1:13" s="936" customFormat="1">
      <c r="A75" s="1082"/>
      <c r="M75" s="940"/>
    </row>
    <row r="76" spans="1:13" s="936" customFormat="1">
      <c r="A76" s="1082"/>
      <c r="M76" s="940"/>
    </row>
    <row r="77" spans="1:13" s="936" customFormat="1">
      <c r="A77" s="1082"/>
      <c r="M77" s="940"/>
    </row>
    <row r="78" spans="1:13" s="936" customFormat="1">
      <c r="A78" s="1082"/>
      <c r="M78" s="940"/>
    </row>
    <row r="79" spans="1:13" s="936" customFormat="1">
      <c r="A79" s="1082"/>
      <c r="M79" s="940"/>
    </row>
    <row r="80" spans="1:13" s="936" customFormat="1">
      <c r="A80" s="1082"/>
      <c r="M80" s="940"/>
    </row>
    <row r="81" spans="1:13" s="936" customFormat="1">
      <c r="A81" s="1082"/>
      <c r="M81" s="940"/>
    </row>
    <row r="82" spans="1:13" s="936" customFormat="1">
      <c r="A82" s="1082"/>
      <c r="M82" s="940"/>
    </row>
    <row r="83" spans="1:13" s="936" customFormat="1">
      <c r="A83" s="1082"/>
      <c r="M83" s="940"/>
    </row>
    <row r="84" spans="1:13" s="936" customFormat="1">
      <c r="A84" s="1082"/>
      <c r="M84" s="940"/>
    </row>
    <row r="85" spans="1:13" s="936" customFormat="1">
      <c r="A85" s="1082"/>
      <c r="M85" s="940"/>
    </row>
    <row r="86" spans="1:13" s="936" customFormat="1">
      <c r="A86" s="1082"/>
      <c r="M86" s="940"/>
    </row>
    <row r="87" spans="1:13" s="936" customFormat="1">
      <c r="A87" s="1082"/>
      <c r="G87" s="1081"/>
      <c r="H87" s="1080"/>
      <c r="M87" s="940"/>
    </row>
    <row r="88" spans="1:13" s="936" customFormat="1">
      <c r="A88" s="1082"/>
      <c r="G88" s="1081"/>
      <c r="H88" s="1080"/>
      <c r="M88" s="940"/>
    </row>
    <row r="89" spans="1:13" s="936" customFormat="1">
      <c r="A89" s="1082"/>
      <c r="G89" s="1081"/>
      <c r="H89" s="1080"/>
      <c r="M89" s="940"/>
    </row>
    <row r="90" spans="1:13" s="936" customFormat="1">
      <c r="A90" s="1082"/>
      <c r="G90" s="1081"/>
      <c r="H90" s="1080"/>
      <c r="M90" s="940"/>
    </row>
    <row r="91" spans="1:13" s="936" customFormat="1">
      <c r="A91" s="1082"/>
      <c r="G91" s="1081"/>
      <c r="H91" s="1080"/>
      <c r="M91" s="940"/>
    </row>
    <row r="92" spans="1:13" s="936" customFormat="1">
      <c r="A92" s="1082"/>
      <c r="M92" s="940"/>
    </row>
    <row r="93" spans="1:13" s="936" customFormat="1">
      <c r="A93" s="1082"/>
      <c r="M93" s="940"/>
    </row>
    <row r="94" spans="1:13" s="936" customFormat="1" ht="15.75" thickBot="1">
      <c r="A94" s="1082"/>
      <c r="M94" s="940"/>
    </row>
    <row r="95" spans="1:13" s="936" customFormat="1" ht="15" customHeight="1">
      <c r="A95" s="945"/>
      <c r="B95" s="1799" t="s">
        <v>181</v>
      </c>
      <c r="C95" s="1799"/>
      <c r="D95" s="1799"/>
      <c r="E95" s="1799"/>
      <c r="F95" s="1799"/>
      <c r="G95" s="1799"/>
      <c r="H95" s="1799"/>
      <c r="I95" s="1799"/>
      <c r="J95" s="1799"/>
      <c r="K95" s="1799"/>
      <c r="L95" s="1799"/>
      <c r="M95" s="1820"/>
    </row>
    <row r="96" spans="1:13" s="936" customFormat="1">
      <c r="A96" s="942"/>
      <c r="B96" s="1800"/>
      <c r="C96" s="1800"/>
      <c r="D96" s="1800"/>
      <c r="E96" s="1800"/>
      <c r="F96" s="1800"/>
      <c r="G96" s="1800"/>
      <c r="H96" s="1800"/>
      <c r="I96" s="1800"/>
      <c r="J96" s="1800"/>
      <c r="K96" s="1800"/>
      <c r="L96" s="1800"/>
      <c r="M96" s="1821"/>
    </row>
    <row r="97" spans="1:17" s="936" customFormat="1">
      <c r="A97" s="942"/>
      <c r="B97" s="1800"/>
      <c r="C97" s="1800"/>
      <c r="D97" s="1800"/>
      <c r="E97" s="1800"/>
      <c r="F97" s="1800"/>
      <c r="G97" s="1800"/>
      <c r="H97" s="1800"/>
      <c r="I97" s="1800"/>
      <c r="J97" s="1800"/>
      <c r="K97" s="1800"/>
      <c r="L97" s="1800"/>
      <c r="M97" s="1821"/>
      <c r="O97" s="935"/>
      <c r="P97" s="935"/>
      <c r="Q97" s="935"/>
    </row>
    <row r="98" spans="1:17" s="936" customFormat="1" ht="15.75" thickBot="1">
      <c r="A98" s="939"/>
      <c r="B98" s="1801"/>
      <c r="C98" s="1801"/>
      <c r="D98" s="1801"/>
      <c r="E98" s="1801"/>
      <c r="F98" s="1801"/>
      <c r="G98" s="1801"/>
      <c r="H98" s="1801"/>
      <c r="I98" s="1801"/>
      <c r="J98" s="1801"/>
      <c r="K98" s="1801"/>
      <c r="L98" s="1801"/>
      <c r="M98" s="1822"/>
      <c r="O98" s="935"/>
      <c r="P98" s="935"/>
      <c r="Q98" s="935"/>
    </row>
  </sheetData>
  <mergeCells count="27">
    <mergeCell ref="I24:J24"/>
    <mergeCell ref="I25:J25"/>
    <mergeCell ref="I26:J26"/>
    <mergeCell ref="I27:J27"/>
    <mergeCell ref="I28:J28"/>
    <mergeCell ref="K29:L29"/>
    <mergeCell ref="K28:L28"/>
    <mergeCell ref="K27:L27"/>
    <mergeCell ref="K26:L26"/>
    <mergeCell ref="G28:H29"/>
    <mergeCell ref="I29:J29"/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E65D05E3-A8D8-4FA4-B58B-211E89FB486F}">
          <x14:formula1>
            <xm:f>margins!#REF!</xm:f>
          </x14:formula1>
          <xm:sqref>P18:P24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9" zoomScaleNormal="100" zoomScaleSheetLayoutView="90" workbookViewId="0">
      <selection activeCell="U64" sqref="U64"/>
    </sheetView>
  </sheetViews>
  <sheetFormatPr defaultColWidth="9.140625" defaultRowHeight="15"/>
  <cols>
    <col min="1" max="1" width="3.5703125" style="937" customWidth="1"/>
    <col min="2" max="2" width="25.7109375" style="936" customWidth="1"/>
    <col min="3" max="3" width="15.28515625" style="936" customWidth="1"/>
    <col min="4" max="4" width="13" style="936" customWidth="1"/>
    <col min="5" max="5" width="12.7109375" style="936" customWidth="1"/>
    <col min="6" max="9" width="13.7109375" style="936" customWidth="1"/>
    <col min="10" max="10" width="13.5703125" style="936" customWidth="1"/>
    <col min="11" max="13" width="13.7109375" style="936" customWidth="1"/>
    <col min="14" max="14" width="2" style="936" customWidth="1"/>
    <col min="15" max="15" width="9.140625" style="935"/>
    <col min="16" max="17" width="20" style="935" customWidth="1"/>
    <col min="18" max="18" width="21" style="935" bestFit="1" customWidth="1"/>
    <col min="19" max="16384" width="9.140625" style="935"/>
  </cols>
  <sheetData>
    <row r="1" spans="1:18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1147"/>
    </row>
    <row r="2" spans="1:18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1746" t="s">
        <v>329</v>
      </c>
      <c r="K2" s="1746"/>
      <c r="L2" s="1747">
        <f ca="1">NOW()</f>
        <v>46223.360261689813</v>
      </c>
      <c r="M2" s="1747"/>
      <c r="N2" s="1079"/>
    </row>
    <row r="3" spans="1:18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746"/>
      <c r="N3" s="1079"/>
    </row>
    <row r="4" spans="1:18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941"/>
      <c r="L4" s="1746"/>
      <c r="M4" s="1746"/>
      <c r="N4" s="1079"/>
    </row>
    <row r="5" spans="1:18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941"/>
      <c r="L5" s="1746" t="s">
        <v>171</v>
      </c>
      <c r="M5" s="1746"/>
      <c r="N5" s="1079"/>
    </row>
    <row r="6" spans="1:18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1079"/>
    </row>
    <row r="7" spans="1:18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1079"/>
    </row>
    <row r="8" spans="1:18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1146"/>
    </row>
    <row r="9" spans="1:18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M9" s="1106"/>
      <c r="N9" s="1145"/>
    </row>
    <row r="10" spans="1:18" s="936" customFormat="1" ht="14.25" customHeight="1" thickBot="1">
      <c r="A10" s="1748" t="s">
        <v>576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49"/>
      <c r="N10" s="1750"/>
      <c r="P10" s="1427" t="s">
        <v>194</v>
      </c>
      <c r="Q10" s="1428"/>
      <c r="R10" s="1429">
        <v>46223.360254629632</v>
      </c>
    </row>
    <row r="11" spans="1:18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3"/>
      <c r="P11" s="1430"/>
      <c r="Q11" s="418"/>
      <c r="R11" s="1431"/>
    </row>
    <row r="12" spans="1:18" s="936" customFormat="1" ht="15.75" thickBot="1">
      <c r="A12" s="1144"/>
      <c r="B12" s="1165"/>
      <c r="C12" s="1736" t="s">
        <v>438</v>
      </c>
      <c r="D12" s="1737"/>
      <c r="E12" s="1737"/>
      <c r="F12" s="1143"/>
      <c r="G12" s="1142"/>
      <c r="H12" s="1142"/>
      <c r="I12" s="1142"/>
      <c r="J12" s="1142"/>
      <c r="K12" s="1142"/>
      <c r="L12" s="980"/>
      <c r="M12" s="1141"/>
      <c r="N12" s="1140"/>
      <c r="P12" s="1278" t="s">
        <v>195</v>
      </c>
      <c r="Q12" s="1278" t="s">
        <v>196</v>
      </c>
      <c r="R12" s="1432" t="s">
        <v>197</v>
      </c>
    </row>
    <row r="13" spans="1:18" s="936" customFormat="1" ht="15.75" thickBot="1">
      <c r="A13" s="1129"/>
      <c r="B13" s="1164" t="s">
        <v>211</v>
      </c>
      <c r="C13" s="1275" t="s">
        <v>13</v>
      </c>
      <c r="D13" s="1275" t="s">
        <v>87</v>
      </c>
      <c r="E13" s="1164" t="s">
        <v>600</v>
      </c>
      <c r="G13" s="1081" t="s">
        <v>599</v>
      </c>
      <c r="H13" s="1080"/>
      <c r="I13" s="1080"/>
      <c r="K13" s="1081" t="s">
        <v>598</v>
      </c>
      <c r="L13" s="1"/>
      <c r="N13" s="1079"/>
      <c r="P13" s="1430"/>
      <c r="Q13" s="418"/>
      <c r="R13" s="1431"/>
    </row>
    <row r="14" spans="1:18" s="936" customFormat="1">
      <c r="A14" s="1129"/>
      <c r="B14" s="1163">
        <f>margins!A5</f>
        <v>5.75</v>
      </c>
      <c r="C14" s="1139">
        <v>95.86999999999999</v>
      </c>
      <c r="D14" s="1138">
        <v>95.77</v>
      </c>
      <c r="E14" s="1201">
        <v>95.77</v>
      </c>
      <c r="F14" s="1106"/>
      <c r="G14" s="1729" t="s">
        <v>94</v>
      </c>
      <c r="H14" s="1730"/>
      <c r="I14" s="1278" t="s">
        <v>6</v>
      </c>
      <c r="K14" s="1729" t="s">
        <v>597</v>
      </c>
      <c r="L14" s="1754"/>
      <c r="M14" s="1135">
        <v>0</v>
      </c>
      <c r="N14" s="1079"/>
      <c r="P14" s="1433" t="s">
        <v>198</v>
      </c>
      <c r="Q14" s="431" t="s">
        <v>91</v>
      </c>
      <c r="R14" s="1434"/>
    </row>
    <row r="15" spans="1:18" s="936" customFormat="1" ht="15.75" thickBot="1">
      <c r="A15" s="1129"/>
      <c r="B15" s="1163">
        <f>margins!A6</f>
        <v>5.875</v>
      </c>
      <c r="C15" s="1120">
        <v>96.87</v>
      </c>
      <c r="D15" s="1119">
        <v>96.77000000000001</v>
      </c>
      <c r="E15" s="1118">
        <v>96.77000000000001</v>
      </c>
      <c r="F15" s="1106"/>
      <c r="G15" s="1755" t="s">
        <v>95</v>
      </c>
      <c r="H15" s="1756"/>
      <c r="I15" s="1134">
        <v>102</v>
      </c>
      <c r="K15" s="1744" t="s">
        <v>596</v>
      </c>
      <c r="L15" s="1745"/>
      <c r="M15" s="1137">
        <v>-0.375</v>
      </c>
      <c r="N15" s="1079"/>
      <c r="P15" s="1435" t="s">
        <v>199</v>
      </c>
      <c r="Q15" s="432">
        <v>6.5</v>
      </c>
      <c r="R15" s="1436">
        <f>IF(Q14="7/6 Arm",VLOOKUP(Q15,$B$14:$E$42,2,FALSE),IF(Q14="10/6 Arm",VLOOKUP(Q15,$B$14:$E$42,3,FALSE),VLOOKUP(Q15,$B$14:$E$43,4,FALSE)))</f>
        <v>101.17625000000001</v>
      </c>
    </row>
    <row r="16" spans="1:18" s="936" customFormat="1">
      <c r="A16" s="1129"/>
      <c r="B16" s="1163">
        <f>margins!A7</f>
        <v>6</v>
      </c>
      <c r="C16" s="1120">
        <v>97.86999999999999</v>
      </c>
      <c r="D16" s="1119">
        <v>97.77</v>
      </c>
      <c r="E16" s="1118">
        <v>97.77</v>
      </c>
      <c r="F16" s="1106"/>
      <c r="G16" s="1755" t="s">
        <v>96</v>
      </c>
      <c r="H16" s="1756"/>
      <c r="I16" s="1134">
        <v>102</v>
      </c>
      <c r="N16" s="1079"/>
      <c r="P16" s="1435" t="s">
        <v>353</v>
      </c>
      <c r="Q16" s="432" t="s">
        <v>21</v>
      </c>
      <c r="R16" s="1437"/>
    </row>
    <row r="17" spans="1:18" s="936" customFormat="1" ht="15.75" thickBot="1">
      <c r="A17" s="1129"/>
      <c r="B17" s="1163">
        <f>margins!A8</f>
        <v>6.125</v>
      </c>
      <c r="C17" s="1120">
        <v>98.87</v>
      </c>
      <c r="D17" s="1119">
        <v>98.77000000000001</v>
      </c>
      <c r="E17" s="1118">
        <v>98.77000000000001</v>
      </c>
      <c r="F17" s="1106"/>
      <c r="G17" s="1755" t="s">
        <v>7</v>
      </c>
      <c r="H17" s="1756"/>
      <c r="I17" s="1134">
        <v>102</v>
      </c>
      <c r="K17" s="1081" t="s">
        <v>594</v>
      </c>
      <c r="L17" s="1277"/>
      <c r="M17" s="1277"/>
      <c r="N17" s="1079"/>
      <c r="P17" s="1435" t="s">
        <v>200</v>
      </c>
      <c r="Q17" s="432" t="s">
        <v>191</v>
      </c>
      <c r="R17" s="1437">
        <f>IFERROR(INDEX($F$51:$M$58,MATCH(Q17,$C$51:$C$58,0),MATCH(Q16,$F$50:$M$50,0),1),0)</f>
        <v>0</v>
      </c>
    </row>
    <row r="18" spans="1:18" s="936" customFormat="1" ht="15" customHeight="1">
      <c r="A18" s="1129"/>
      <c r="B18" s="1163">
        <f>margins!A9</f>
        <v>6.25</v>
      </c>
      <c r="C18" s="1120">
        <v>99.776250000000005</v>
      </c>
      <c r="D18" s="1119">
        <v>99.67625000000001</v>
      </c>
      <c r="E18" s="1118">
        <v>99.67625000000001</v>
      </c>
      <c r="F18" s="1106"/>
      <c r="G18" s="1755" t="s">
        <v>9</v>
      </c>
      <c r="H18" s="1756"/>
      <c r="I18" s="1134">
        <v>101.5</v>
      </c>
      <c r="K18" s="1721" t="s">
        <v>639</v>
      </c>
      <c r="L18" s="1722"/>
      <c r="M18" s="1723"/>
      <c r="N18" s="1079"/>
      <c r="P18" s="1435" t="s">
        <v>109</v>
      </c>
      <c r="Q18" s="432" t="s">
        <v>191</v>
      </c>
      <c r="R18" s="1437">
        <f>IFERROR(INDEX($F$59:$M$63,MATCH(Q18,$C$59:$C$63,0),MATCH(Q16,$F$50:$M$50,0),1),0)</f>
        <v>0</v>
      </c>
    </row>
    <row r="19" spans="1:18" s="936" customFormat="1">
      <c r="A19" s="1129"/>
      <c r="B19" s="1163">
        <f>margins!A10</f>
        <v>6.375</v>
      </c>
      <c r="C19" s="1120">
        <v>100.52624999999999</v>
      </c>
      <c r="D19" s="1119">
        <v>100.42625</v>
      </c>
      <c r="E19" s="1118">
        <v>100.42625</v>
      </c>
      <c r="F19" s="1106"/>
      <c r="G19" s="1755" t="s">
        <v>11</v>
      </c>
      <c r="H19" s="1756"/>
      <c r="I19" s="1134">
        <v>101</v>
      </c>
      <c r="K19" s="1724"/>
      <c r="L19" s="1725"/>
      <c r="M19" s="1726"/>
      <c r="N19" s="1079"/>
      <c r="P19" s="1435" t="s">
        <v>71</v>
      </c>
      <c r="Q19" s="432" t="s">
        <v>191</v>
      </c>
      <c r="R19" s="1437">
        <f t="shared" ref="R19:R26" si="0">IFERROR(INDEX($F$68:$M$104,MATCH(Q19,$C$68:$C$104,0),MATCH($Q$16,$F$67:$M$67,0),1),0)</f>
        <v>0</v>
      </c>
    </row>
    <row r="20" spans="1:18" s="936" customFormat="1" ht="15.75" customHeight="1" thickBot="1">
      <c r="A20" s="1129"/>
      <c r="B20" s="1163">
        <f>margins!A11</f>
        <v>6.5</v>
      </c>
      <c r="C20" s="1120">
        <v>101.27625</v>
      </c>
      <c r="D20" s="1119">
        <v>101.17625000000001</v>
      </c>
      <c r="E20" s="1118">
        <v>101.17625000000001</v>
      </c>
      <c r="F20" s="1106"/>
      <c r="G20" s="1731" t="s">
        <v>97</v>
      </c>
      <c r="H20" s="1732"/>
      <c r="I20" s="1133">
        <v>100</v>
      </c>
      <c r="K20" s="1724" t="s">
        <v>437</v>
      </c>
      <c r="L20" s="1725"/>
      <c r="M20" s="1726"/>
      <c r="N20" s="1079"/>
      <c r="P20" s="1435" t="s">
        <v>201</v>
      </c>
      <c r="Q20" s="432" t="s">
        <v>191</v>
      </c>
      <c r="R20" s="1437">
        <f t="shared" si="0"/>
        <v>0</v>
      </c>
    </row>
    <row r="21" spans="1:18" s="936" customFormat="1">
      <c r="A21" s="1129"/>
      <c r="B21" s="1163">
        <f>margins!A12</f>
        <v>6.625</v>
      </c>
      <c r="C21" s="1120">
        <v>101.90124999999999</v>
      </c>
      <c r="D21" s="1119">
        <v>101.80125</v>
      </c>
      <c r="E21" s="1118">
        <v>101.80125</v>
      </c>
      <c r="F21" s="1106"/>
      <c r="G21" s="1729" t="s">
        <v>556</v>
      </c>
      <c r="H21" s="1730"/>
      <c r="I21" s="1278" t="s">
        <v>6</v>
      </c>
      <c r="K21" s="1724"/>
      <c r="L21" s="1725"/>
      <c r="M21" s="1726"/>
      <c r="N21" s="1079"/>
      <c r="P21" s="1435" t="s">
        <v>47</v>
      </c>
      <c r="Q21" s="432" t="s">
        <v>191</v>
      </c>
      <c r="R21" s="1437">
        <f t="shared" si="0"/>
        <v>0</v>
      </c>
    </row>
    <row r="22" spans="1:18" s="936" customFormat="1" ht="15.75" customHeight="1" thickBot="1">
      <c r="A22" s="1129"/>
      <c r="B22" s="1163">
        <f>margins!A13</f>
        <v>6.75</v>
      </c>
      <c r="C22" s="1120">
        <v>102.52624999999999</v>
      </c>
      <c r="D22" s="1119">
        <v>102.42625</v>
      </c>
      <c r="E22" s="1118">
        <v>102.42625</v>
      </c>
      <c r="F22" s="1106"/>
      <c r="G22" s="1727" t="s">
        <v>115</v>
      </c>
      <c r="H22" s="1728"/>
      <c r="I22" s="1134">
        <v>99</v>
      </c>
      <c r="K22" s="1733" t="s">
        <v>735</v>
      </c>
      <c r="L22" s="1734"/>
      <c r="M22" s="1735"/>
      <c r="N22" s="1079"/>
      <c r="P22" s="1435" t="s">
        <v>56</v>
      </c>
      <c r="Q22" s="432" t="s">
        <v>191</v>
      </c>
      <c r="R22" s="1437">
        <f t="shared" si="0"/>
        <v>0</v>
      </c>
    </row>
    <row r="23" spans="1:18" s="936" customFormat="1">
      <c r="A23" s="1082"/>
      <c r="B23" s="1163">
        <f>margins!A14</f>
        <v>6.875</v>
      </c>
      <c r="C23" s="1120">
        <v>102.90124999999999</v>
      </c>
      <c r="D23" s="1119">
        <v>102.80125</v>
      </c>
      <c r="E23" s="1118">
        <v>102.80125</v>
      </c>
      <c r="F23" s="1106"/>
      <c r="G23" s="1729" t="s">
        <v>279</v>
      </c>
      <c r="H23" s="1730"/>
      <c r="I23" s="1278" t="s">
        <v>6</v>
      </c>
      <c r="K23" s="1733"/>
      <c r="L23" s="1734"/>
      <c r="M23" s="1735"/>
      <c r="N23" s="1079"/>
      <c r="P23" s="1435" t="s">
        <v>62</v>
      </c>
      <c r="Q23" s="432" t="s">
        <v>191</v>
      </c>
      <c r="R23" s="1437">
        <f t="shared" si="0"/>
        <v>0</v>
      </c>
    </row>
    <row r="24" spans="1:18" s="936" customFormat="1" ht="14.25" customHeight="1" thickBot="1">
      <c r="A24" s="1082"/>
      <c r="B24" s="1163">
        <f>margins!A15</f>
        <v>7</v>
      </c>
      <c r="C24" s="1120">
        <v>103.27625</v>
      </c>
      <c r="D24" s="1119">
        <v>103.17625000000001</v>
      </c>
      <c r="E24" s="1118">
        <v>103.17625000000001</v>
      </c>
      <c r="F24" s="1106"/>
      <c r="G24" s="1727" t="s">
        <v>641</v>
      </c>
      <c r="H24" s="1728"/>
      <c r="I24" s="1134">
        <v>100.5</v>
      </c>
      <c r="K24" s="1733" t="s">
        <v>638</v>
      </c>
      <c r="L24" s="1734"/>
      <c r="M24" s="1735"/>
      <c r="N24" s="1079"/>
      <c r="P24" s="1435" t="s">
        <v>202</v>
      </c>
      <c r="Q24" s="432" t="s">
        <v>191</v>
      </c>
      <c r="R24" s="1437">
        <f t="shared" si="0"/>
        <v>0</v>
      </c>
    </row>
    <row r="25" spans="1:18" s="936" customFormat="1" ht="15.75" thickBot="1">
      <c r="A25" s="1082"/>
      <c r="B25" s="1163">
        <f>margins!A16</f>
        <v>7.125</v>
      </c>
      <c r="C25" s="1120">
        <v>103.65125</v>
      </c>
      <c r="D25" s="1119">
        <v>103.55125000000001</v>
      </c>
      <c r="E25" s="1118">
        <v>103.55125000000001</v>
      </c>
      <c r="F25" s="1106"/>
      <c r="G25" s="1729" t="s">
        <v>298</v>
      </c>
      <c r="H25" s="1730"/>
      <c r="I25" s="1278" t="s">
        <v>6</v>
      </c>
      <c r="K25" s="1741"/>
      <c r="L25" s="1742"/>
      <c r="M25" s="1743"/>
      <c r="N25" s="1079"/>
      <c r="P25" s="1435" t="s">
        <v>136</v>
      </c>
      <c r="Q25" s="432" t="s">
        <v>191</v>
      </c>
      <c r="R25" s="1437">
        <f t="shared" si="0"/>
        <v>0</v>
      </c>
    </row>
    <row r="26" spans="1:18" s="936" customFormat="1" ht="14.25" customHeight="1" thickBot="1">
      <c r="A26" s="1082"/>
      <c r="B26" s="1163">
        <f>margins!A17</f>
        <v>7.25</v>
      </c>
      <c r="C26" s="1120">
        <v>104.02625</v>
      </c>
      <c r="D26" s="1119">
        <v>103.92625000000001</v>
      </c>
      <c r="E26" s="1118">
        <v>103.92625000000001</v>
      </c>
      <c r="F26" s="1106"/>
      <c r="G26" s="1727" t="s">
        <v>673</v>
      </c>
      <c r="H26" s="1728"/>
      <c r="I26" s="1134">
        <v>101</v>
      </c>
      <c r="N26" s="1079"/>
      <c r="P26" s="1435" t="s">
        <v>203</v>
      </c>
      <c r="Q26" s="432" t="s">
        <v>191</v>
      </c>
      <c r="R26" s="1437">
        <f t="shared" si="0"/>
        <v>0</v>
      </c>
    </row>
    <row r="27" spans="1:18" s="936" customFormat="1">
      <c r="A27" s="1082"/>
      <c r="B27" s="1163">
        <f>margins!A18</f>
        <v>7.375</v>
      </c>
      <c r="C27" s="1120">
        <v>104.40125</v>
      </c>
      <c r="D27" s="1119">
        <v>104.30125000000001</v>
      </c>
      <c r="E27" s="1118">
        <v>104.30125000000001</v>
      </c>
      <c r="F27" s="1106"/>
      <c r="N27" s="1079"/>
      <c r="P27" s="1435" t="s">
        <v>662</v>
      </c>
      <c r="Q27" s="432" t="s">
        <v>191</v>
      </c>
      <c r="R27" s="1437">
        <f>IFERROR(INDEX($F$95:$M$100,MATCH(Q27,$C$95:$C$100,0),MATCH($Q$16,$F$67:$M$67,0),1),0)</f>
        <v>0</v>
      </c>
    </row>
    <row r="28" spans="1:18" s="936" customFormat="1" ht="14.25" customHeight="1" thickBot="1">
      <c r="A28" s="1082"/>
      <c r="B28" s="1163">
        <f>margins!A19</f>
        <v>7.5</v>
      </c>
      <c r="C28" s="1120">
        <v>104.77625000000002</v>
      </c>
      <c r="D28" s="1119">
        <v>104.67625000000001</v>
      </c>
      <c r="E28" s="1118">
        <v>104.67625000000001</v>
      </c>
      <c r="F28" s="1106"/>
      <c r="G28" s="1081" t="s">
        <v>595</v>
      </c>
      <c r="I28" s="941"/>
      <c r="N28" s="1079"/>
      <c r="P28" s="1435" t="s">
        <v>69</v>
      </c>
      <c r="Q28" s="432" t="s">
        <v>191</v>
      </c>
      <c r="R28" s="1437">
        <f>IFERROR(INDEX($F$68:$M$104,MATCH(Q28,$C$68:$C$104,0),MATCH($Q$16,$F$67:$M$67,0),1),0)</f>
        <v>0</v>
      </c>
    </row>
    <row r="29" spans="1:18" s="936" customFormat="1">
      <c r="A29" s="1082"/>
      <c r="B29" s="1163">
        <f>margins!A20</f>
        <v>7.625</v>
      </c>
      <c r="C29" s="1120">
        <v>105.15125</v>
      </c>
      <c r="D29" s="1119">
        <v>105.05125000000001</v>
      </c>
      <c r="E29" s="1118">
        <v>105.05125000000001</v>
      </c>
      <c r="F29" s="1106"/>
      <c r="G29" s="1127" t="s">
        <v>239</v>
      </c>
      <c r="H29" s="1768" t="s">
        <v>593</v>
      </c>
      <c r="I29" s="1769"/>
      <c r="N29" s="1079"/>
      <c r="P29" s="1435" t="s">
        <v>161</v>
      </c>
      <c r="Q29" s="432" t="s">
        <v>191</v>
      </c>
      <c r="R29" s="1437">
        <f>IFERROR(INDEX($F$68:$M$104,MATCH(Q29,$C$68:$C$104,0),MATCH($Q$16,$F$67:$M$67,0),1),0)</f>
        <v>0</v>
      </c>
    </row>
    <row r="30" spans="1:18" s="936" customFormat="1">
      <c r="A30" s="1082"/>
      <c r="B30" s="1163">
        <f>margins!A21</f>
        <v>7.75</v>
      </c>
      <c r="C30" s="1120">
        <v>105.52625000000002</v>
      </c>
      <c r="D30" s="1119">
        <v>105.42625000000001</v>
      </c>
      <c r="E30" s="1118">
        <v>105.42625000000001</v>
      </c>
      <c r="F30" s="1106"/>
      <c r="G30" s="1126" t="s">
        <v>210</v>
      </c>
      <c r="H30" s="1739">
        <v>4.5</v>
      </c>
      <c r="I30" s="1740"/>
      <c r="M30" s="1104"/>
      <c r="N30" s="1079"/>
      <c r="P30" s="1435" t="s">
        <v>464</v>
      </c>
      <c r="Q30" s="432" t="s">
        <v>191</v>
      </c>
      <c r="R30" s="1437">
        <f>IFERROR(INDEX($F$68:$M$104,MATCH(Q30,$C$68:$C$104,0),MATCH($Q$16,$F$67:$M$67,0),1),0)</f>
        <v>0</v>
      </c>
    </row>
    <row r="31" spans="1:18" s="936" customFormat="1">
      <c r="A31" s="1082"/>
      <c r="B31" s="1163">
        <f>margins!A22</f>
        <v>7.875</v>
      </c>
      <c r="C31" s="1120">
        <v>105.90125000000002</v>
      </c>
      <c r="D31" s="1119">
        <v>105.80125000000001</v>
      </c>
      <c r="E31" s="1118">
        <v>105.80125000000001</v>
      </c>
      <c r="F31" s="1106"/>
      <c r="G31" s="1126" t="s">
        <v>592</v>
      </c>
      <c r="H31" s="1739" t="s">
        <v>591</v>
      </c>
      <c r="I31" s="1740"/>
      <c r="L31" s="1080"/>
      <c r="M31" s="1080"/>
      <c r="N31" s="1079"/>
      <c r="P31" s="1435" t="s">
        <v>470</v>
      </c>
      <c r="Q31" s="432" t="s">
        <v>191</v>
      </c>
      <c r="R31" s="1437">
        <f>IFERROR(INDEX($F$68:$M$104,MATCH(Q31,$C$68:$C$104,0),MATCH($Q$16,$F$67:$M$67,0),1),0)</f>
        <v>0</v>
      </c>
    </row>
    <row r="32" spans="1:18" s="936" customFormat="1">
      <c r="A32" s="1082"/>
      <c r="B32" s="1163">
        <f>margins!A23</f>
        <v>8</v>
      </c>
      <c r="C32" s="1120">
        <v>106.27625000000002</v>
      </c>
      <c r="D32" s="1119">
        <v>106.17625000000001</v>
      </c>
      <c r="E32" s="1118">
        <v>106.17625000000001</v>
      </c>
      <c r="F32" s="1106"/>
      <c r="G32" s="1126" t="s">
        <v>590</v>
      </c>
      <c r="H32" s="1739" t="s">
        <v>103</v>
      </c>
      <c r="I32" s="1740"/>
      <c r="K32" s="1426"/>
      <c r="N32" s="1079"/>
      <c r="P32" s="1435" t="s">
        <v>205</v>
      </c>
      <c r="Q32" s="432" t="s">
        <v>191</v>
      </c>
      <c r="R32" s="1437">
        <f>IF(Q32=15,0,IF(Q32=30,M14,IF(Q32=45,M15,0)))</f>
        <v>0</v>
      </c>
    </row>
    <row r="33" spans="1:18" s="936" customFormat="1" ht="15.75" thickBot="1">
      <c r="A33" s="1082"/>
      <c r="B33" s="1163">
        <f>margins!A24</f>
        <v>8.125</v>
      </c>
      <c r="C33" s="1120">
        <v>106.65125000000002</v>
      </c>
      <c r="D33" s="1119">
        <v>106.55125000000001</v>
      </c>
      <c r="E33" s="1118">
        <v>106.55125000000001</v>
      </c>
      <c r="F33" s="1106"/>
      <c r="G33" s="1123" t="s">
        <v>589</v>
      </c>
      <c r="H33" s="1770" t="s">
        <v>588</v>
      </c>
      <c r="I33" s="1771"/>
      <c r="K33" s="1426"/>
      <c r="N33" s="1079"/>
      <c r="P33" s="1438" t="s">
        <v>669</v>
      </c>
      <c r="Q33" s="432" t="s">
        <v>191</v>
      </c>
      <c r="R33" s="1439">
        <f>_xlfn.IFNA(VLOOKUP(Q33,G36:J39,4,0), 0)</f>
        <v>0</v>
      </c>
    </row>
    <row r="34" spans="1:18" s="936" customFormat="1" ht="15.75" thickBot="1">
      <c r="A34" s="1082"/>
      <c r="B34" s="1163">
        <f>margins!A25</f>
        <v>8.25</v>
      </c>
      <c r="C34" s="1120">
        <v>107.02625000000002</v>
      </c>
      <c r="D34" s="1119">
        <v>106.92625000000001</v>
      </c>
      <c r="E34" s="1118">
        <v>106.92625000000001</v>
      </c>
      <c r="F34" s="1106"/>
      <c r="G34" s="1081"/>
      <c r="H34"/>
      <c r="I34"/>
      <c r="J34"/>
      <c r="N34" s="1079"/>
      <c r="P34" s="1440" t="s">
        <v>206</v>
      </c>
      <c r="Q34" s="433"/>
      <c r="R34" s="1441">
        <f>SUM(R17:R33)</f>
        <v>0</v>
      </c>
    </row>
    <row r="35" spans="1:18" s="936" customFormat="1" ht="15.75" thickBot="1">
      <c r="A35" s="1082"/>
      <c r="B35" s="1163">
        <f>margins!A26</f>
        <v>8.375</v>
      </c>
      <c r="C35" s="1120">
        <v>107.40125000000002</v>
      </c>
      <c r="D35" s="1119">
        <v>107.30125000000001</v>
      </c>
      <c r="E35" s="1118">
        <v>107.30125000000001</v>
      </c>
      <c r="F35" s="1106"/>
      <c r="G35" s="1765" t="str">
        <f ca="1">TEXT(TODAY(), "mmmm") &amp; " Special"</f>
        <v>July Special</v>
      </c>
      <c r="H35" s="1766"/>
      <c r="I35" s="1766"/>
      <c r="J35" s="1767"/>
      <c r="N35" s="1079"/>
      <c r="P35" s="1442"/>
      <c r="Q35" s="421"/>
      <c r="R35" s="1443"/>
    </row>
    <row r="36" spans="1:18" s="936" customFormat="1" ht="15.75" thickBot="1">
      <c r="A36" s="1082"/>
      <c r="B36" s="1163">
        <f>margins!A27</f>
        <v>8.5</v>
      </c>
      <c r="C36" s="1120">
        <v>107.65125</v>
      </c>
      <c r="D36" s="1119">
        <v>107.55125000000001</v>
      </c>
      <c r="E36" s="1118">
        <v>107.55125000000001</v>
      </c>
      <c r="F36" s="1106"/>
      <c r="G36" s="1185" t="s">
        <v>521</v>
      </c>
      <c r="H36" s="1188"/>
      <c r="I36" s="1188"/>
      <c r="J36" s="1189">
        <v>0.75</v>
      </c>
      <c r="N36" s="1079"/>
      <c r="P36" s="1444" t="s">
        <v>207</v>
      </c>
      <c r="Q36" s="423"/>
      <c r="R36" s="1445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101.17625000000001</v>
      </c>
    </row>
    <row r="37" spans="1:18" s="936" customFormat="1" ht="15.75" thickBot="1">
      <c r="A37" s="1082"/>
      <c r="B37" s="1163">
        <f>margins!A28</f>
        <v>8.625</v>
      </c>
      <c r="C37" s="1120">
        <v>107.90125000000002</v>
      </c>
      <c r="D37" s="1119">
        <v>107.80125000000001</v>
      </c>
      <c r="E37" s="1118">
        <v>107.80125000000001</v>
      </c>
      <c r="F37" s="1106"/>
      <c r="G37" s="1186" t="s">
        <v>524</v>
      </c>
      <c r="H37" s="1190"/>
      <c r="I37" s="1190"/>
      <c r="J37" s="1191">
        <v>0.5</v>
      </c>
      <c r="N37" s="1079"/>
      <c r="P37" s="1446"/>
      <c r="Q37" s="417"/>
      <c r="R37" s="1447"/>
    </row>
    <row r="38" spans="1:18" s="936" customFormat="1">
      <c r="A38" s="1082"/>
      <c r="B38" s="1163">
        <f>margins!A29</f>
        <v>8.75</v>
      </c>
      <c r="C38" s="1120">
        <v>108.15125</v>
      </c>
      <c r="D38" s="1119">
        <v>108.05125000000001</v>
      </c>
      <c r="E38" s="1118">
        <v>108.05125000000001</v>
      </c>
      <c r="F38" s="1106"/>
      <c r="G38" s="1185" t="s">
        <v>522</v>
      </c>
      <c r="H38" s="1188"/>
      <c r="I38" s="1188"/>
      <c r="J38" s="1189">
        <v>0.5</v>
      </c>
      <c r="N38" s="1079"/>
      <c r="P38" s="1448" t="s">
        <v>208</v>
      </c>
      <c r="Q38" s="1449"/>
      <c r="R38" s="1450"/>
    </row>
    <row r="39" spans="1:18" s="936" customFormat="1" ht="15.75" thickBot="1">
      <c r="A39" s="1082"/>
      <c r="B39" s="1163">
        <f>margins!A30</f>
        <v>8.875</v>
      </c>
      <c r="C39" s="1120">
        <v>108.40125</v>
      </c>
      <c r="D39" s="1119">
        <v>108.30125000000001</v>
      </c>
      <c r="E39" s="1118">
        <v>108.30125000000001</v>
      </c>
      <c r="F39" s="1106"/>
      <c r="G39" s="1186" t="s">
        <v>523</v>
      </c>
      <c r="H39" s="1190"/>
      <c r="I39" s="1190"/>
      <c r="J39" s="1191">
        <v>0.25</v>
      </c>
      <c r="N39" s="1079"/>
    </row>
    <row r="40" spans="1:18" s="936" customFormat="1">
      <c r="A40" s="1082"/>
      <c r="B40" s="1163">
        <f>margins!A31</f>
        <v>9</v>
      </c>
      <c r="C40" s="1120">
        <v>108.65125</v>
      </c>
      <c r="D40" s="1119">
        <v>108.55125000000001</v>
      </c>
      <c r="E40" s="1118">
        <v>108.55125000000001</v>
      </c>
      <c r="F40" s="1106"/>
      <c r="G40" s="1187" t="s">
        <v>510</v>
      </c>
      <c r="N40" s="1079"/>
    </row>
    <row r="41" spans="1:18" s="936" customFormat="1">
      <c r="A41" s="1082"/>
      <c r="B41" s="1163">
        <f>margins!A32</f>
        <v>9.125</v>
      </c>
      <c r="C41" s="1120">
        <v>108.90125</v>
      </c>
      <c r="D41" s="1119">
        <v>108.80125000000001</v>
      </c>
      <c r="E41" s="1118">
        <v>108.80125000000001</v>
      </c>
      <c r="F41" s="1106"/>
      <c r="G41" s="1187" t="s">
        <v>511</v>
      </c>
      <c r="N41" s="1079"/>
    </row>
    <row r="42" spans="1:18" s="936" customFormat="1" ht="15.75" thickBot="1">
      <c r="A42" s="1082"/>
      <c r="B42" s="1162">
        <f>margins!A33</f>
        <v>9.25</v>
      </c>
      <c r="C42" s="1116">
        <v>109.15125</v>
      </c>
      <c r="D42" s="1115">
        <v>109.05125000000001</v>
      </c>
      <c r="E42" s="1202">
        <v>109.05125000000001</v>
      </c>
      <c r="F42" s="1106"/>
      <c r="G42" s="1187" t="s">
        <v>726</v>
      </c>
      <c r="N42" s="1079"/>
    </row>
    <row r="43" spans="1:18" s="936" customFormat="1">
      <c r="A43" s="1082"/>
      <c r="B43" s="1114"/>
      <c r="C43" s="1113"/>
      <c r="D43" s="1764"/>
      <c r="E43" s="1764"/>
      <c r="G43" s="1496"/>
      <c r="H43" s="1496"/>
      <c r="I43" s="1496"/>
      <c r="J43" s="1496"/>
      <c r="N43" s="1079"/>
    </row>
    <row r="44" spans="1:18" s="936" customFormat="1">
      <c r="A44" s="1082"/>
      <c r="B44" s="1114"/>
      <c r="C44" s="1113"/>
      <c r="D44" s="1113"/>
      <c r="E44" s="1113"/>
      <c r="G44" s="1495"/>
      <c r="H44" s="1130"/>
      <c r="I44" s="1130"/>
      <c r="J44" s="1497"/>
      <c r="N44" s="1079"/>
    </row>
    <row r="45" spans="1:18" s="936" customFormat="1" ht="16.5" customHeight="1">
      <c r="A45" s="1082"/>
      <c r="B45" s="1114"/>
      <c r="C45" s="1113"/>
      <c r="D45" s="1113"/>
      <c r="E45" s="1113"/>
      <c r="G45" s="1498"/>
      <c r="H45" s="1498"/>
      <c r="I45" s="1498"/>
      <c r="J45" s="1498"/>
      <c r="N45" s="1079"/>
    </row>
    <row r="46" spans="1:18" s="936" customFormat="1">
      <c r="A46" s="1082"/>
      <c r="B46" s="1114"/>
      <c r="C46" s="1113"/>
      <c r="D46" s="1113"/>
      <c r="E46" s="1113"/>
      <c r="G46" s="1498"/>
      <c r="H46" s="1498"/>
      <c r="I46" s="1498"/>
      <c r="J46" s="1498"/>
      <c r="N46" s="1079"/>
    </row>
    <row r="47" spans="1:18" s="936" customFormat="1">
      <c r="A47" s="1082"/>
      <c r="B47" s="1114"/>
      <c r="C47" s="1113"/>
      <c r="D47" s="1113"/>
      <c r="E47" s="1113"/>
      <c r="G47" s="1498"/>
      <c r="H47" s="1498"/>
      <c r="I47" s="1498"/>
      <c r="J47" s="1498"/>
      <c r="N47" s="1079"/>
    </row>
    <row r="48" spans="1:18" s="936" customFormat="1" ht="15.75" thickBot="1">
      <c r="A48" s="1082"/>
      <c r="N48" s="1079"/>
    </row>
    <row r="49" spans="1:14" s="936" customFormat="1" ht="15.75" thickBot="1">
      <c r="A49" s="1082"/>
      <c r="B49" s="1081" t="s">
        <v>216</v>
      </c>
      <c r="D49" s="1083"/>
      <c r="E49" s="1"/>
      <c r="F49" s="1736" t="s">
        <v>298</v>
      </c>
      <c r="G49" s="1737"/>
      <c r="H49" s="1737"/>
      <c r="I49" s="1737"/>
      <c r="J49" s="1737"/>
      <c r="K49" s="1737"/>
      <c r="L49" s="1737"/>
      <c r="M49" s="1738"/>
      <c r="N49" s="1079"/>
    </row>
    <row r="50" spans="1:14" s="936" customFormat="1" ht="15.75" thickBot="1">
      <c r="A50" s="1082"/>
      <c r="B50" s="1286"/>
      <c r="C50" s="1293"/>
      <c r="D50" s="1293"/>
      <c r="E50" s="1294" t="s">
        <v>191</v>
      </c>
      <c r="F50" s="1271" t="s">
        <v>15</v>
      </c>
      <c r="G50" s="1282" t="s">
        <v>16</v>
      </c>
      <c r="H50" s="1271" t="s">
        <v>17</v>
      </c>
      <c r="I50" s="1283" t="s">
        <v>18</v>
      </c>
      <c r="J50" s="1284" t="s">
        <v>19</v>
      </c>
      <c r="K50" s="1271" t="s">
        <v>20</v>
      </c>
      <c r="L50" s="1271" t="s">
        <v>21</v>
      </c>
      <c r="M50" s="1285" t="s">
        <v>22</v>
      </c>
      <c r="N50" s="1079"/>
    </row>
    <row r="51" spans="1:14" s="936" customFormat="1">
      <c r="A51" s="1082"/>
      <c r="B51" s="1760" t="s">
        <v>109</v>
      </c>
      <c r="C51" s="1703" t="s">
        <v>111</v>
      </c>
      <c r="D51" s="1704"/>
      <c r="E51" s="1705"/>
      <c r="F51" s="1092">
        <v>-0.125</v>
      </c>
      <c r="G51" s="1091">
        <v>-0.375</v>
      </c>
      <c r="H51" s="1091">
        <v>-0.625</v>
      </c>
      <c r="I51" s="1091">
        <v>-0.625</v>
      </c>
      <c r="J51" s="1091">
        <v>-0.75</v>
      </c>
      <c r="K51" s="1091">
        <v>-2</v>
      </c>
      <c r="L51" s="1091">
        <v>-2.5</v>
      </c>
      <c r="M51" s="1090">
        <v>-6.75</v>
      </c>
      <c r="N51" s="1079"/>
    </row>
    <row r="52" spans="1:14" s="936" customFormat="1">
      <c r="A52" s="1082"/>
      <c r="B52" s="1760"/>
      <c r="C52" s="1706" t="s">
        <v>24</v>
      </c>
      <c r="D52" s="1707"/>
      <c r="E52" s="1708"/>
      <c r="F52" s="1095">
        <v>-0.25</v>
      </c>
      <c r="G52" s="1094">
        <v>-0.5</v>
      </c>
      <c r="H52" s="1094">
        <v>-0.75</v>
      </c>
      <c r="I52" s="1094">
        <v>-0.75</v>
      </c>
      <c r="J52" s="1094">
        <v>-1</v>
      </c>
      <c r="K52" s="1094">
        <v>-2.25</v>
      </c>
      <c r="L52" s="1094">
        <v>-2.75</v>
      </c>
      <c r="M52" s="1093">
        <v>-7</v>
      </c>
      <c r="N52" s="1079"/>
    </row>
    <row r="53" spans="1:14" s="936" customFormat="1">
      <c r="A53" s="1082"/>
      <c r="B53" s="1760"/>
      <c r="C53" s="1706" t="s">
        <v>25</v>
      </c>
      <c r="D53" s="1707"/>
      <c r="E53" s="1708"/>
      <c r="F53" s="1095">
        <v>-0.5</v>
      </c>
      <c r="G53" s="1094">
        <v>-0.75</v>
      </c>
      <c r="H53" s="1094">
        <v>-1</v>
      </c>
      <c r="I53" s="1094">
        <v>-1</v>
      </c>
      <c r="J53" s="1094">
        <v>-1.25</v>
      </c>
      <c r="K53" s="1094">
        <v>-2.5</v>
      </c>
      <c r="L53" s="1094">
        <v>-3.625</v>
      </c>
      <c r="M53" s="1093">
        <v>-7.375</v>
      </c>
      <c r="N53" s="1079"/>
    </row>
    <row r="54" spans="1:14" s="936" customFormat="1">
      <c r="A54" s="1082"/>
      <c r="B54" s="1760"/>
      <c r="C54" s="1706" t="s">
        <v>26</v>
      </c>
      <c r="D54" s="1707"/>
      <c r="E54" s="1708"/>
      <c r="F54" s="1095">
        <v>-0.875</v>
      </c>
      <c r="G54" s="1094">
        <v>-1.125</v>
      </c>
      <c r="H54" s="1094">
        <v>-1.125</v>
      </c>
      <c r="I54" s="1094">
        <v>-1.625</v>
      </c>
      <c r="J54" s="1094">
        <v>-2</v>
      </c>
      <c r="K54" s="1094">
        <v>-3.125</v>
      </c>
      <c r="L54" s="1094">
        <v>-4.375</v>
      </c>
      <c r="M54" s="1093">
        <v>-7.875</v>
      </c>
      <c r="N54" s="1079"/>
    </row>
    <row r="55" spans="1:14" s="936" customFormat="1">
      <c r="A55" s="1082"/>
      <c r="B55" s="1760"/>
      <c r="C55" s="1706" t="s">
        <v>27</v>
      </c>
      <c r="D55" s="1707"/>
      <c r="E55" s="1708"/>
      <c r="F55" s="1095">
        <v>-1.75</v>
      </c>
      <c r="G55" s="1094">
        <v>-2.125</v>
      </c>
      <c r="H55" s="1094">
        <v>-1.875</v>
      </c>
      <c r="I55" s="1094">
        <v>-2.375</v>
      </c>
      <c r="J55" s="1094">
        <v>-2.75</v>
      </c>
      <c r="K55" s="1094">
        <v>-4.125</v>
      </c>
      <c r="L55" s="1094">
        <v>-6.5</v>
      </c>
      <c r="M55" s="1093" t="s">
        <v>14</v>
      </c>
      <c r="N55" s="1079"/>
    </row>
    <row r="56" spans="1:14" s="936" customFormat="1">
      <c r="A56" s="1082"/>
      <c r="B56" s="1760"/>
      <c r="C56" s="1706" t="s">
        <v>28</v>
      </c>
      <c r="D56" s="1707"/>
      <c r="E56" s="1708"/>
      <c r="F56" s="1095">
        <v>-2.5</v>
      </c>
      <c r="G56" s="1094">
        <v>-2.875</v>
      </c>
      <c r="H56" s="1094">
        <v>-2.875</v>
      </c>
      <c r="I56" s="1094">
        <v>-3.375</v>
      </c>
      <c r="J56" s="1094">
        <v>-3.75</v>
      </c>
      <c r="K56" s="1094">
        <v>-5.875</v>
      </c>
      <c r="L56" s="1094">
        <v>-8.5</v>
      </c>
      <c r="M56" s="1093" t="s">
        <v>14</v>
      </c>
      <c r="N56" s="1079"/>
    </row>
    <row r="57" spans="1:14" s="936" customFormat="1">
      <c r="A57" s="1082"/>
      <c r="B57" s="1760"/>
      <c r="C57" s="1706" t="s">
        <v>80</v>
      </c>
      <c r="D57" s="1707"/>
      <c r="E57" s="1708"/>
      <c r="F57" s="1095">
        <v>-4.25</v>
      </c>
      <c r="G57" s="1094">
        <v>-4.5</v>
      </c>
      <c r="H57" s="1094">
        <v>-4.5</v>
      </c>
      <c r="I57" s="1094">
        <v>-5</v>
      </c>
      <c r="J57" s="1094">
        <v>-5.5</v>
      </c>
      <c r="K57" s="1094" t="s">
        <v>14</v>
      </c>
      <c r="L57" s="1094" t="s">
        <v>14</v>
      </c>
      <c r="M57" s="1093" t="s">
        <v>14</v>
      </c>
      <c r="N57" s="1079"/>
    </row>
    <row r="58" spans="1:14" s="936" customFormat="1" ht="15.75" thickBot="1">
      <c r="A58" s="1082"/>
      <c r="B58" s="1760"/>
      <c r="C58" s="1718" t="s">
        <v>81</v>
      </c>
      <c r="D58" s="1719"/>
      <c r="E58" s="1720"/>
      <c r="F58" s="1157">
        <v>-5.25</v>
      </c>
      <c r="G58" s="1156">
        <v>-5.5</v>
      </c>
      <c r="H58" s="1156">
        <v>-5.75</v>
      </c>
      <c r="I58" s="1156">
        <v>-6.5</v>
      </c>
      <c r="J58" s="1156" t="s">
        <v>14</v>
      </c>
      <c r="K58" s="1156" t="s">
        <v>14</v>
      </c>
      <c r="L58" s="1156" t="s">
        <v>14</v>
      </c>
      <c r="M58" s="1155" t="s">
        <v>14</v>
      </c>
      <c r="N58" s="1079"/>
    </row>
    <row r="59" spans="1:14" s="936" customFormat="1">
      <c r="A59" s="1082"/>
      <c r="B59" s="1757" t="s">
        <v>650</v>
      </c>
      <c r="C59" s="1715" t="s">
        <v>679</v>
      </c>
      <c r="D59" s="1716"/>
      <c r="E59" s="1717"/>
      <c r="F59" s="1153">
        <v>0.625</v>
      </c>
      <c r="G59" s="1153">
        <v>0.625</v>
      </c>
      <c r="H59" s="1153">
        <v>0.625</v>
      </c>
      <c r="I59" s="1153">
        <v>0.625</v>
      </c>
      <c r="J59" s="1153">
        <v>0.625</v>
      </c>
      <c r="K59" s="1153">
        <v>0.625</v>
      </c>
      <c r="L59" s="1153">
        <v>0.625</v>
      </c>
      <c r="M59" s="1152">
        <v>0.5</v>
      </c>
      <c r="N59" s="1079"/>
    </row>
    <row r="60" spans="1:14" s="936" customFormat="1">
      <c r="A60" s="1082"/>
      <c r="B60" s="1758"/>
      <c r="C60" s="1706" t="s">
        <v>113</v>
      </c>
      <c r="D60" s="1707"/>
      <c r="E60" s="1708"/>
      <c r="F60" s="1094">
        <v>0</v>
      </c>
      <c r="G60" s="1094">
        <v>0</v>
      </c>
      <c r="H60" s="1094">
        <v>0</v>
      </c>
      <c r="I60" s="1094">
        <v>0</v>
      </c>
      <c r="J60" s="1094">
        <v>0</v>
      </c>
      <c r="K60" s="1094">
        <v>0</v>
      </c>
      <c r="L60" s="1094">
        <v>0</v>
      </c>
      <c r="M60" s="1093">
        <v>0</v>
      </c>
      <c r="N60" s="1079"/>
    </row>
    <row r="61" spans="1:14" s="936" customFormat="1">
      <c r="A61" s="1082"/>
      <c r="B61" s="1758"/>
      <c r="C61" s="1706" t="s">
        <v>605</v>
      </c>
      <c r="D61" s="1707"/>
      <c r="E61" s="1708"/>
      <c r="F61" s="1095">
        <v>-2.25</v>
      </c>
      <c r="G61" s="1094">
        <v>-2.25</v>
      </c>
      <c r="H61" s="1094">
        <v>-2.25</v>
      </c>
      <c r="I61" s="1094">
        <v>-2.25</v>
      </c>
      <c r="J61" s="1094">
        <v>-2.25</v>
      </c>
      <c r="K61" s="1094">
        <v>-3.25</v>
      </c>
      <c r="L61" s="1094" t="s">
        <v>14</v>
      </c>
      <c r="M61" s="1093" t="s">
        <v>14</v>
      </c>
      <c r="N61" s="1079"/>
    </row>
    <row r="62" spans="1:14" s="936" customFormat="1">
      <c r="A62" s="1082"/>
      <c r="B62" s="1758"/>
      <c r="C62" s="1706" t="s">
        <v>604</v>
      </c>
      <c r="D62" s="1707"/>
      <c r="E62" s="1708"/>
      <c r="F62" s="1095">
        <v>-5.875</v>
      </c>
      <c r="G62" s="1094">
        <v>-5.875</v>
      </c>
      <c r="H62" s="1094">
        <v>-5.875</v>
      </c>
      <c r="I62" s="1094">
        <v>-6.5</v>
      </c>
      <c r="J62" s="1094">
        <v>-6.875</v>
      </c>
      <c r="K62" s="1094">
        <v>-8.25</v>
      </c>
      <c r="L62" s="1094" t="s">
        <v>14</v>
      </c>
      <c r="M62" s="1093" t="s">
        <v>14</v>
      </c>
      <c r="N62" s="1079"/>
    </row>
    <row r="63" spans="1:14" s="936" customFormat="1" ht="15.75" thickBot="1">
      <c r="A63" s="1082"/>
      <c r="B63" s="1759"/>
      <c r="C63" s="1712" t="s">
        <v>666</v>
      </c>
      <c r="D63" s="1713"/>
      <c r="E63" s="1714"/>
      <c r="F63" s="1087">
        <v>-0.75</v>
      </c>
      <c r="G63" s="1087">
        <v>-0.75</v>
      </c>
      <c r="H63" s="1087">
        <v>-0.75</v>
      </c>
      <c r="I63" s="1087">
        <v>-0.75</v>
      </c>
      <c r="J63" s="1087">
        <v>-1</v>
      </c>
      <c r="K63" s="1087">
        <v>-1.375</v>
      </c>
      <c r="L63" s="1087">
        <v>-2.125</v>
      </c>
      <c r="M63" s="1086" t="s">
        <v>14</v>
      </c>
      <c r="N63" s="1079"/>
    </row>
    <row r="64" spans="1:14" s="936" customFormat="1">
      <c r="A64" s="1082"/>
      <c r="N64" s="1079"/>
    </row>
    <row r="65" spans="1:14" s="936" customFormat="1" ht="15.75" thickBot="1">
      <c r="A65" s="1082"/>
      <c r="N65" s="1079"/>
    </row>
    <row r="66" spans="1:14" s="936" customFormat="1" ht="15.75" thickBot="1">
      <c r="A66" s="1082"/>
      <c r="B66" s="1081" t="s">
        <v>704</v>
      </c>
      <c r="D66" s="1083"/>
      <c r="E66" s="1"/>
      <c r="F66" s="1736" t="s">
        <v>298</v>
      </c>
      <c r="G66" s="1737"/>
      <c r="H66" s="1737"/>
      <c r="I66" s="1737"/>
      <c r="J66" s="1737"/>
      <c r="K66" s="1737"/>
      <c r="L66" s="1737"/>
      <c r="M66" s="1738"/>
      <c r="N66" s="1079"/>
    </row>
    <row r="67" spans="1:14" s="936" customFormat="1" ht="15.75" thickBot="1">
      <c r="A67" s="1082"/>
      <c r="B67" s="1761"/>
      <c r="C67" s="1762"/>
      <c r="D67" s="1762"/>
      <c r="E67" s="1762"/>
      <c r="F67" s="1101" t="s">
        <v>15</v>
      </c>
      <c r="G67" s="1271" t="s">
        <v>16</v>
      </c>
      <c r="H67" s="1271" t="s">
        <v>17</v>
      </c>
      <c r="I67" s="1271" t="s">
        <v>18</v>
      </c>
      <c r="J67" s="1271" t="s">
        <v>19</v>
      </c>
      <c r="K67" s="1271" t="s">
        <v>20</v>
      </c>
      <c r="L67" s="1271" t="s">
        <v>21</v>
      </c>
      <c r="M67" s="1285" t="s">
        <v>22</v>
      </c>
      <c r="N67" s="1079"/>
    </row>
    <row r="68" spans="1:14" s="936" customFormat="1" ht="15" customHeight="1" thickBot="1">
      <c r="A68" s="1082"/>
      <c r="B68" s="1193" t="s">
        <v>71</v>
      </c>
      <c r="C68" s="1761" t="s">
        <v>73</v>
      </c>
      <c r="D68" s="1762"/>
      <c r="E68" s="1763"/>
      <c r="F68" s="1087">
        <v>-0.25</v>
      </c>
      <c r="G68" s="1087">
        <v>-0.25</v>
      </c>
      <c r="H68" s="1087">
        <v>-0.25</v>
      </c>
      <c r="I68" s="1087">
        <v>-0.25</v>
      </c>
      <c r="J68" s="1087">
        <v>-0.25</v>
      </c>
      <c r="K68" s="1087" t="s">
        <v>14</v>
      </c>
      <c r="L68" s="1087" t="s">
        <v>14</v>
      </c>
      <c r="M68" s="1086" t="s">
        <v>14</v>
      </c>
      <c r="N68" s="1079"/>
    </row>
    <row r="69" spans="1:14" s="936" customFormat="1">
      <c r="A69" s="1082"/>
      <c r="B69" s="1757" t="s">
        <v>685</v>
      </c>
      <c r="C69" s="1715" t="s">
        <v>603</v>
      </c>
      <c r="D69" s="1716"/>
      <c r="E69" s="1717"/>
      <c r="F69" s="1091">
        <v>0</v>
      </c>
      <c r="G69" s="1091">
        <v>0</v>
      </c>
      <c r="H69" s="1091">
        <v>0</v>
      </c>
      <c r="I69" s="1091">
        <v>0</v>
      </c>
      <c r="J69" s="1091">
        <v>0</v>
      </c>
      <c r="K69" s="1091">
        <v>0</v>
      </c>
      <c r="L69" s="1091" t="s">
        <v>14</v>
      </c>
      <c r="M69" s="1090" t="s">
        <v>14</v>
      </c>
      <c r="N69" s="1079"/>
    </row>
    <row r="70" spans="1:14" s="936" customFormat="1" ht="15.75" thickBot="1">
      <c r="A70" s="1082"/>
      <c r="B70" s="1759"/>
      <c r="C70" s="1712" t="s">
        <v>602</v>
      </c>
      <c r="D70" s="1713"/>
      <c r="E70" s="1714"/>
      <c r="F70" s="1087">
        <v>-0.25</v>
      </c>
      <c r="G70" s="1087">
        <v>-0.25</v>
      </c>
      <c r="H70" s="1087">
        <v>-0.25</v>
      </c>
      <c r="I70" s="1087">
        <v>-0.25</v>
      </c>
      <c r="J70" s="1087">
        <v>-0.375</v>
      </c>
      <c r="K70" s="1087">
        <v>-0.375</v>
      </c>
      <c r="L70" s="1087" t="s">
        <v>14</v>
      </c>
      <c r="M70" s="1086" t="s">
        <v>14</v>
      </c>
      <c r="N70" s="1079"/>
    </row>
    <row r="71" spans="1:14" s="936" customFormat="1">
      <c r="A71" s="1082"/>
      <c r="B71" s="1772" t="s">
        <v>47</v>
      </c>
      <c r="C71" s="1715" t="s">
        <v>587</v>
      </c>
      <c r="D71" s="1716"/>
      <c r="E71" s="1717"/>
      <c r="F71" s="1091">
        <v>-0.75</v>
      </c>
      <c r="G71" s="1091">
        <v>-0.75</v>
      </c>
      <c r="H71" s="1091">
        <v>-0.875</v>
      </c>
      <c r="I71" s="1091">
        <v>-0.875</v>
      </c>
      <c r="J71" s="1091">
        <v>-0.875</v>
      </c>
      <c r="K71" s="1091">
        <v>-1.75</v>
      </c>
      <c r="L71" s="1091">
        <v>-2</v>
      </c>
      <c r="M71" s="1090">
        <v>-4</v>
      </c>
      <c r="N71" s="1079"/>
    </row>
    <row r="72" spans="1:14" s="936" customFormat="1">
      <c r="A72" s="1082"/>
      <c r="B72" s="1760"/>
      <c r="C72" s="1706" t="s">
        <v>586</v>
      </c>
      <c r="D72" s="1707"/>
      <c r="E72" s="1708"/>
      <c r="F72" s="1094">
        <v>-0.25</v>
      </c>
      <c r="G72" s="1094">
        <v>-0.25</v>
      </c>
      <c r="H72" s="1094">
        <v>-0.25</v>
      </c>
      <c r="I72" s="1094">
        <v>-0.25</v>
      </c>
      <c r="J72" s="1094">
        <v>-0.25</v>
      </c>
      <c r="K72" s="1094">
        <v>-0.25</v>
      </c>
      <c r="L72" s="1094">
        <v>-0.5</v>
      </c>
      <c r="M72" s="1093">
        <v>-0.5</v>
      </c>
      <c r="N72" s="1079"/>
    </row>
    <row r="73" spans="1:14" s="936" customFormat="1">
      <c r="A73" s="1082"/>
      <c r="B73" s="1760"/>
      <c r="C73" s="1706" t="s">
        <v>370</v>
      </c>
      <c r="D73" s="1707"/>
      <c r="E73" s="1708"/>
      <c r="F73" s="1094">
        <v>0</v>
      </c>
      <c r="G73" s="1094">
        <v>0</v>
      </c>
      <c r="H73" s="1094">
        <v>0</v>
      </c>
      <c r="I73" s="1094">
        <v>0</v>
      </c>
      <c r="J73" s="1094">
        <v>0</v>
      </c>
      <c r="K73" s="1094">
        <v>0</v>
      </c>
      <c r="L73" s="1094">
        <v>0</v>
      </c>
      <c r="M73" s="1093">
        <v>0</v>
      </c>
      <c r="N73" s="1079"/>
    </row>
    <row r="74" spans="1:14" s="936" customFormat="1">
      <c r="A74" s="1082"/>
      <c r="B74" s="1760"/>
      <c r="C74" s="1706" t="s">
        <v>371</v>
      </c>
      <c r="D74" s="1707"/>
      <c r="E74" s="1708"/>
      <c r="F74" s="1094">
        <v>0</v>
      </c>
      <c r="G74" s="1094">
        <v>0</v>
      </c>
      <c r="H74" s="1094">
        <v>0</v>
      </c>
      <c r="I74" s="1094">
        <v>0</v>
      </c>
      <c r="J74" s="1094">
        <v>0</v>
      </c>
      <c r="K74" s="1094">
        <v>0</v>
      </c>
      <c r="L74" s="1094">
        <v>0</v>
      </c>
      <c r="M74" s="1093">
        <v>0</v>
      </c>
      <c r="N74" s="1079"/>
    </row>
    <row r="75" spans="1:14" s="936" customFormat="1">
      <c r="A75" s="1082"/>
      <c r="B75" s="1760"/>
      <c r="C75" s="1706" t="s">
        <v>372</v>
      </c>
      <c r="D75" s="1707"/>
      <c r="E75" s="1708"/>
      <c r="F75" s="1094">
        <v>0</v>
      </c>
      <c r="G75" s="1094">
        <v>0</v>
      </c>
      <c r="H75" s="1094">
        <v>0</v>
      </c>
      <c r="I75" s="1094">
        <v>0</v>
      </c>
      <c r="J75" s="1094">
        <v>0</v>
      </c>
      <c r="K75" s="1094">
        <v>0</v>
      </c>
      <c r="L75" s="1094">
        <v>-0.5</v>
      </c>
      <c r="M75" s="1093" t="s">
        <v>14</v>
      </c>
      <c r="N75" s="1079"/>
    </row>
    <row r="76" spans="1:14" s="936" customFormat="1">
      <c r="A76" s="1082"/>
      <c r="B76" s="1760"/>
      <c r="C76" s="1706" t="s">
        <v>373</v>
      </c>
      <c r="D76" s="1707"/>
      <c r="E76" s="1708"/>
      <c r="F76" s="1094">
        <v>-0.25</v>
      </c>
      <c r="G76" s="1094">
        <v>-0.25</v>
      </c>
      <c r="H76" s="1094">
        <v>-0.25</v>
      </c>
      <c r="I76" s="1094">
        <v>-0.25</v>
      </c>
      <c r="J76" s="1094">
        <v>-0.25</v>
      </c>
      <c r="K76" s="1094">
        <v>-0.5</v>
      </c>
      <c r="L76" s="1094" t="s">
        <v>14</v>
      </c>
      <c r="M76" s="1093" t="s">
        <v>14</v>
      </c>
      <c r="N76" s="1079"/>
    </row>
    <row r="77" spans="1:14" s="936" customFormat="1">
      <c r="A77" s="1082"/>
      <c r="B77" s="1760"/>
      <c r="C77" s="1706" t="s">
        <v>367</v>
      </c>
      <c r="D77" s="1707"/>
      <c r="E77" s="1708"/>
      <c r="F77" s="1094">
        <v>-0.875</v>
      </c>
      <c r="G77" s="1094">
        <v>-0.875</v>
      </c>
      <c r="H77" s="1094">
        <v>-1</v>
      </c>
      <c r="I77" s="1094">
        <v>-1.25</v>
      </c>
      <c r="J77" s="1094">
        <v>-1.5</v>
      </c>
      <c r="K77" s="1094" t="s">
        <v>14</v>
      </c>
      <c r="L77" s="1094" t="s">
        <v>14</v>
      </c>
      <c r="M77" s="1093" t="s">
        <v>14</v>
      </c>
      <c r="N77" s="1079"/>
    </row>
    <row r="78" spans="1:14" s="936" customFormat="1">
      <c r="A78" s="1082"/>
      <c r="B78" s="1760"/>
      <c r="C78" s="1706" t="s">
        <v>368</v>
      </c>
      <c r="D78" s="1707"/>
      <c r="E78" s="1708"/>
      <c r="F78" s="1094">
        <v>-1.25</v>
      </c>
      <c r="G78" s="1094">
        <v>-1.25</v>
      </c>
      <c r="H78" s="1094">
        <v>-1.25</v>
      </c>
      <c r="I78" s="1094">
        <v>-1.625</v>
      </c>
      <c r="J78" s="1094">
        <v>-1.75</v>
      </c>
      <c r="K78" s="1094" t="s">
        <v>14</v>
      </c>
      <c r="L78" s="1094" t="s">
        <v>14</v>
      </c>
      <c r="M78" s="1093" t="s">
        <v>14</v>
      </c>
      <c r="N78" s="1079"/>
    </row>
    <row r="79" spans="1:14" s="936" customFormat="1" ht="15.75" thickBot="1">
      <c r="A79" s="1082"/>
      <c r="B79" s="1773"/>
      <c r="C79" s="1712" t="s">
        <v>369</v>
      </c>
      <c r="D79" s="1713"/>
      <c r="E79" s="1714"/>
      <c r="F79" s="1087">
        <v>-2</v>
      </c>
      <c r="G79" s="1087">
        <v>-2</v>
      </c>
      <c r="H79" s="1087">
        <v>-2</v>
      </c>
      <c r="I79" s="1087">
        <v>-2</v>
      </c>
      <c r="J79" s="1087">
        <v>-2.5</v>
      </c>
      <c r="K79" s="1087" t="s">
        <v>14</v>
      </c>
      <c r="L79" s="1087" t="s">
        <v>14</v>
      </c>
      <c r="M79" s="1086" t="s">
        <v>14</v>
      </c>
      <c r="N79" s="1079"/>
    </row>
    <row r="80" spans="1:14" s="936" customFormat="1">
      <c r="A80" s="1082"/>
      <c r="B80" s="1774" t="s">
        <v>56</v>
      </c>
      <c r="C80" s="1715" t="s">
        <v>462</v>
      </c>
      <c r="D80" s="1716"/>
      <c r="E80" s="1717"/>
      <c r="F80" s="1091">
        <v>-0.375</v>
      </c>
      <c r="G80" s="1091">
        <v>-0.375</v>
      </c>
      <c r="H80" s="1091">
        <v>-0.375</v>
      </c>
      <c r="I80" s="1091">
        <v>-0.5</v>
      </c>
      <c r="J80" s="1091">
        <v>-0.75</v>
      </c>
      <c r="K80" s="1091">
        <v>-1.5</v>
      </c>
      <c r="L80" s="1091" t="s">
        <v>14</v>
      </c>
      <c r="M80" s="1090" t="s">
        <v>14</v>
      </c>
      <c r="N80" s="1079"/>
    </row>
    <row r="81" spans="1:14" s="936" customFormat="1">
      <c r="A81" s="1082"/>
      <c r="B81" s="1778"/>
      <c r="C81" s="1706" t="s">
        <v>461</v>
      </c>
      <c r="D81" s="1707"/>
      <c r="E81" s="1708"/>
      <c r="F81" s="1094">
        <v>-0.75</v>
      </c>
      <c r="G81" s="1094">
        <v>-0.75</v>
      </c>
      <c r="H81" s="1094">
        <v>-0.75</v>
      </c>
      <c r="I81" s="1094">
        <v>-0.875</v>
      </c>
      <c r="J81" s="1094">
        <v>-1.25</v>
      </c>
      <c r="K81" s="1094" t="s">
        <v>14</v>
      </c>
      <c r="L81" s="1094" t="s">
        <v>14</v>
      </c>
      <c r="M81" s="1093" t="s">
        <v>14</v>
      </c>
      <c r="N81" s="1079"/>
    </row>
    <row r="82" spans="1:14" s="936" customFormat="1" ht="15" customHeight="1" thickBot="1">
      <c r="A82" s="1082"/>
      <c r="B82" s="1709"/>
      <c r="C82" s="1709" t="s">
        <v>667</v>
      </c>
      <c r="D82" s="1710"/>
      <c r="E82" s="1711"/>
      <c r="F82" s="1087">
        <v>-0.625</v>
      </c>
      <c r="G82" s="1087">
        <v>-0.625</v>
      </c>
      <c r="H82" s="1087">
        <v>-0.625</v>
      </c>
      <c r="I82" s="1087">
        <v>-0.75</v>
      </c>
      <c r="J82" s="1087">
        <v>-1.25</v>
      </c>
      <c r="K82" s="1087">
        <v>-2</v>
      </c>
      <c r="L82" s="1087" t="s">
        <v>14</v>
      </c>
      <c r="M82" s="1086" t="s">
        <v>14</v>
      </c>
      <c r="N82" s="1079"/>
    </row>
    <row r="83" spans="1:14" s="936" customFormat="1" ht="15" customHeight="1">
      <c r="A83" s="1082"/>
      <c r="B83" s="1760" t="s">
        <v>62</v>
      </c>
      <c r="C83" s="1703" t="s">
        <v>63</v>
      </c>
      <c r="D83" s="1704"/>
      <c r="E83" s="1705"/>
      <c r="F83" s="1153">
        <v>-0.125</v>
      </c>
      <c r="G83" s="1153">
        <v>-0.125</v>
      </c>
      <c r="H83" s="1153">
        <v>-0.125</v>
      </c>
      <c r="I83" s="1153">
        <v>-0.25</v>
      </c>
      <c r="J83" s="1153">
        <v>-0.5</v>
      </c>
      <c r="K83" s="1153">
        <v>-0.75</v>
      </c>
      <c r="L83" s="1153">
        <v>-1.5</v>
      </c>
      <c r="M83" s="1152">
        <v>-3.5</v>
      </c>
      <c r="N83" s="1079"/>
    </row>
    <row r="84" spans="1:14" s="936" customFormat="1">
      <c r="A84" s="1082"/>
      <c r="B84" s="1760"/>
      <c r="C84" s="1706" t="s">
        <v>182</v>
      </c>
      <c r="D84" s="1707"/>
      <c r="E84" s="1708"/>
      <c r="F84" s="1153">
        <v>-1.375</v>
      </c>
      <c r="G84" s="1153">
        <v>-1.375</v>
      </c>
      <c r="H84" s="1153">
        <v>-1.375</v>
      </c>
      <c r="I84" s="1153">
        <v>-1.375</v>
      </c>
      <c r="J84" s="1153">
        <v>-1.375</v>
      </c>
      <c r="K84" s="1153">
        <v>-1.375</v>
      </c>
      <c r="L84" s="1153" t="s">
        <v>14</v>
      </c>
      <c r="M84" s="1152" t="s">
        <v>14</v>
      </c>
      <c r="N84" s="1079"/>
    </row>
    <row r="85" spans="1:14" s="936" customFormat="1">
      <c r="A85" s="1082"/>
      <c r="B85" s="1760"/>
      <c r="C85" s="1706" t="s">
        <v>251</v>
      </c>
      <c r="D85" s="1707"/>
      <c r="E85" s="1708"/>
      <c r="F85" s="1094">
        <v>-1.375</v>
      </c>
      <c r="G85" s="1094">
        <v>-1.375</v>
      </c>
      <c r="H85" s="1094">
        <v>-1.375</v>
      </c>
      <c r="I85" s="1094">
        <v>-1.375</v>
      </c>
      <c r="J85" s="1094">
        <v>-1.375</v>
      </c>
      <c r="K85" s="1094">
        <v>-1.375</v>
      </c>
      <c r="L85" s="1094">
        <v>-1.75</v>
      </c>
      <c r="M85" s="1093">
        <v>-3.75</v>
      </c>
      <c r="N85" s="1079"/>
    </row>
    <row r="86" spans="1:14" s="936" customFormat="1" ht="15.75" thickBot="1">
      <c r="A86" s="1082"/>
      <c r="B86" s="1773"/>
      <c r="C86" s="1712" t="s">
        <v>64</v>
      </c>
      <c r="D86" s="1713"/>
      <c r="E86" s="1714"/>
      <c r="F86" s="1087">
        <v>-0.5</v>
      </c>
      <c r="G86" s="1087">
        <v>-0.5</v>
      </c>
      <c r="H86" s="1087">
        <v>-0.5</v>
      </c>
      <c r="I86" s="1087">
        <v>-0.5</v>
      </c>
      <c r="J86" s="1087">
        <v>-0.625</v>
      </c>
      <c r="K86" s="1087">
        <v>-0.75</v>
      </c>
      <c r="L86" s="1087">
        <v>-1.5</v>
      </c>
      <c r="M86" s="1086">
        <v>-4</v>
      </c>
      <c r="N86" s="1079"/>
    </row>
    <row r="87" spans="1:14" s="936" customFormat="1">
      <c r="A87" s="1082"/>
      <c r="B87" s="1772" t="s">
        <v>65</v>
      </c>
      <c r="C87" s="1715" t="s">
        <v>135</v>
      </c>
      <c r="D87" s="1716"/>
      <c r="E87" s="1717"/>
      <c r="F87" s="1091">
        <v>-0.25</v>
      </c>
      <c r="G87" s="1091">
        <v>-0.25</v>
      </c>
      <c r="H87" s="1091">
        <v>-0.25</v>
      </c>
      <c r="I87" s="1091">
        <v>-0.25</v>
      </c>
      <c r="J87" s="1091">
        <v>-0.25</v>
      </c>
      <c r="K87" s="1091">
        <v>-0.375</v>
      </c>
      <c r="L87" s="1091">
        <v>-0.5</v>
      </c>
      <c r="M87" s="1090">
        <v>-0.5</v>
      </c>
      <c r="N87" s="1079"/>
    </row>
    <row r="88" spans="1:14" s="936" customFormat="1" ht="15" customHeight="1" thickBot="1">
      <c r="A88" s="1082"/>
      <c r="B88" s="1773"/>
      <c r="C88" s="1712" t="s">
        <v>136</v>
      </c>
      <c r="D88" s="1713"/>
      <c r="E88" s="1714"/>
      <c r="F88" s="1087">
        <v>-0.5</v>
      </c>
      <c r="G88" s="1087">
        <v>-0.5</v>
      </c>
      <c r="H88" s="1087">
        <v>-0.5</v>
      </c>
      <c r="I88" s="1087">
        <v>-0.5</v>
      </c>
      <c r="J88" s="1087">
        <v>-0.625</v>
      </c>
      <c r="K88" s="1087">
        <v>-0.75</v>
      </c>
      <c r="L88" s="1087">
        <v>-1</v>
      </c>
      <c r="M88" s="1086">
        <v>-1.5</v>
      </c>
      <c r="N88" s="1079"/>
    </row>
    <row r="89" spans="1:14" s="936" customFormat="1">
      <c r="A89" s="1082"/>
      <c r="B89" s="1102"/>
      <c r="C89" s="1774" t="s">
        <v>95</v>
      </c>
      <c r="D89" s="1775"/>
      <c r="E89" s="1776"/>
      <c r="F89" s="1091">
        <v>1.25</v>
      </c>
      <c r="G89" s="1091">
        <v>1.25</v>
      </c>
      <c r="H89" s="1091">
        <v>1.25</v>
      </c>
      <c r="I89" s="1091">
        <v>1.25</v>
      </c>
      <c r="J89" s="1091">
        <v>1.25</v>
      </c>
      <c r="K89" s="1091">
        <v>1</v>
      </c>
      <c r="L89" s="1091">
        <v>1</v>
      </c>
      <c r="M89" s="1090">
        <v>1</v>
      </c>
      <c r="N89" s="1079"/>
    </row>
    <row r="90" spans="1:14" s="936" customFormat="1">
      <c r="A90" s="1082"/>
      <c r="B90" s="1777" t="s">
        <v>584</v>
      </c>
      <c r="C90" s="1706" t="s">
        <v>96</v>
      </c>
      <c r="D90" s="1707"/>
      <c r="E90" s="1708"/>
      <c r="F90" s="1153">
        <v>0.75</v>
      </c>
      <c r="G90" s="1153">
        <v>0.75</v>
      </c>
      <c r="H90" s="1153">
        <v>0.75</v>
      </c>
      <c r="I90" s="1153">
        <v>0.75</v>
      </c>
      <c r="J90" s="1153">
        <v>0.75</v>
      </c>
      <c r="K90" s="1153">
        <v>0.625</v>
      </c>
      <c r="L90" s="1153">
        <v>0.625</v>
      </c>
      <c r="M90" s="1152">
        <v>0.625</v>
      </c>
      <c r="N90" s="1079"/>
    </row>
    <row r="91" spans="1:14" s="936" customFormat="1">
      <c r="A91" s="1082"/>
      <c r="B91" s="1777"/>
      <c r="C91" s="1706" t="s">
        <v>7</v>
      </c>
      <c r="D91" s="1707"/>
      <c r="E91" s="1708"/>
      <c r="F91" s="1094">
        <v>0.625</v>
      </c>
      <c r="G91" s="1094">
        <v>0.625</v>
      </c>
      <c r="H91" s="1094">
        <v>0.625</v>
      </c>
      <c r="I91" s="1094">
        <v>0.625</v>
      </c>
      <c r="J91" s="1094">
        <v>0.625</v>
      </c>
      <c r="K91" s="1094">
        <v>0.5</v>
      </c>
      <c r="L91" s="1094">
        <v>0.5</v>
      </c>
      <c r="M91" s="1093">
        <v>0.5</v>
      </c>
      <c r="N91" s="1079"/>
    </row>
    <row r="92" spans="1:14" s="936" customFormat="1">
      <c r="A92" s="1082"/>
      <c r="B92" s="1777"/>
      <c r="C92" s="1706" t="s">
        <v>9</v>
      </c>
      <c r="D92" s="1707"/>
      <c r="E92" s="1708"/>
      <c r="F92" s="1094">
        <v>0.125</v>
      </c>
      <c r="G92" s="1094">
        <v>0.125</v>
      </c>
      <c r="H92" s="1094">
        <v>0.125</v>
      </c>
      <c r="I92" s="1094">
        <v>0.125</v>
      </c>
      <c r="J92" s="1094">
        <v>0.125</v>
      </c>
      <c r="K92" s="1094">
        <v>0</v>
      </c>
      <c r="L92" s="1094">
        <v>0</v>
      </c>
      <c r="M92" s="1093">
        <v>0</v>
      </c>
      <c r="N92" s="1079"/>
    </row>
    <row r="93" spans="1:14" s="936" customFormat="1">
      <c r="A93" s="1082"/>
      <c r="B93" s="1777"/>
      <c r="C93" s="1706" t="s">
        <v>11</v>
      </c>
      <c r="D93" s="1707"/>
      <c r="E93" s="1708"/>
      <c r="F93" s="1094">
        <v>-0.5</v>
      </c>
      <c r="G93" s="1094">
        <v>-0.5</v>
      </c>
      <c r="H93" s="1094">
        <v>-0.5</v>
      </c>
      <c r="I93" s="1094">
        <v>-0.5</v>
      </c>
      <c r="J93" s="1094">
        <v>-0.50000000000000022</v>
      </c>
      <c r="K93" s="1094">
        <v>-0.50000000000000022</v>
      </c>
      <c r="L93" s="1094">
        <v>-0.50000000000000022</v>
      </c>
      <c r="M93" s="1093">
        <v>-0.50000000000000022</v>
      </c>
      <c r="N93" s="1079"/>
    </row>
    <row r="94" spans="1:14" s="936" customFormat="1" ht="15.75" thickBot="1">
      <c r="A94" s="1082"/>
      <c r="B94" s="1777"/>
      <c r="C94" s="1712" t="s">
        <v>97</v>
      </c>
      <c r="D94" s="1713"/>
      <c r="E94" s="1714"/>
      <c r="F94" s="1087">
        <v>-1.5</v>
      </c>
      <c r="G94" s="1087">
        <v>-1.5</v>
      </c>
      <c r="H94" s="1087">
        <v>-1.5</v>
      </c>
      <c r="I94" s="1087">
        <v>-1.5</v>
      </c>
      <c r="J94" s="1087">
        <v>-1.75</v>
      </c>
      <c r="K94" s="1087">
        <v>-1.75</v>
      </c>
      <c r="L94" s="1087">
        <v>-1.75</v>
      </c>
      <c r="M94" s="1086">
        <v>-1.75</v>
      </c>
      <c r="N94" s="1079"/>
    </row>
    <row r="95" spans="1:14" s="936" customFormat="1">
      <c r="A95" s="1082"/>
      <c r="B95" s="1272" t="s">
        <v>646</v>
      </c>
      <c r="C95" s="1774" t="s">
        <v>95</v>
      </c>
      <c r="D95" s="1775"/>
      <c r="E95" s="1776"/>
      <c r="F95" s="1091">
        <v>0.875</v>
      </c>
      <c r="G95" s="1091">
        <v>0.875</v>
      </c>
      <c r="H95" s="1091">
        <v>0.875</v>
      </c>
      <c r="I95" s="1091">
        <v>0.875</v>
      </c>
      <c r="J95" s="1091">
        <v>0.875</v>
      </c>
      <c r="K95" s="1091">
        <v>0.625</v>
      </c>
      <c r="L95" s="1091">
        <v>0.625</v>
      </c>
      <c r="M95" s="1090">
        <v>0.625</v>
      </c>
      <c r="N95" s="1079"/>
    </row>
    <row r="96" spans="1:14" s="936" customFormat="1">
      <c r="A96" s="1082"/>
      <c r="B96" s="1273" t="s">
        <v>225</v>
      </c>
      <c r="C96" s="1706" t="s">
        <v>96</v>
      </c>
      <c r="D96" s="1707"/>
      <c r="E96" s="1708"/>
      <c r="F96" s="1172">
        <v>0.375</v>
      </c>
      <c r="G96" s="1172">
        <v>0.375</v>
      </c>
      <c r="H96" s="1172">
        <v>0.375</v>
      </c>
      <c r="I96" s="1172">
        <v>0.375</v>
      </c>
      <c r="J96" s="1172">
        <v>0.375</v>
      </c>
      <c r="K96" s="1172">
        <v>0.25</v>
      </c>
      <c r="L96" s="1172">
        <v>0.25</v>
      </c>
      <c r="M96" s="1171">
        <v>0.25</v>
      </c>
      <c r="N96" s="1079"/>
    </row>
    <row r="97" spans="1:14" s="936" customFormat="1">
      <c r="A97" s="1082"/>
      <c r="B97" s="1273" t="s">
        <v>647</v>
      </c>
      <c r="C97" s="1706" t="s">
        <v>7</v>
      </c>
      <c r="D97" s="1707"/>
      <c r="E97" s="1708"/>
      <c r="F97" s="1094">
        <v>0.25</v>
      </c>
      <c r="G97" s="1094">
        <v>0.25</v>
      </c>
      <c r="H97" s="1094">
        <v>0.25</v>
      </c>
      <c r="I97" s="1094">
        <v>0.25</v>
      </c>
      <c r="J97" s="1094">
        <v>0.25</v>
      </c>
      <c r="K97" s="1094">
        <v>0.125</v>
      </c>
      <c r="L97" s="1094">
        <v>0.125</v>
      </c>
      <c r="M97" s="1093">
        <v>0.125</v>
      </c>
      <c r="N97" s="1079"/>
    </row>
    <row r="98" spans="1:14" s="936" customFormat="1">
      <c r="A98" s="1082"/>
      <c r="B98" s="1273" t="s">
        <v>204</v>
      </c>
      <c r="C98" s="1706" t="s">
        <v>9</v>
      </c>
      <c r="D98" s="1707"/>
      <c r="E98" s="1708"/>
      <c r="F98" s="1094">
        <v>-0.25</v>
      </c>
      <c r="G98" s="1094">
        <v>-0.25</v>
      </c>
      <c r="H98" s="1094">
        <v>-0.25</v>
      </c>
      <c r="I98" s="1094">
        <v>-0.25</v>
      </c>
      <c r="J98" s="1094">
        <v>-0.25</v>
      </c>
      <c r="K98" s="1094">
        <v>-0.375</v>
      </c>
      <c r="L98" s="1094">
        <v>-0.375</v>
      </c>
      <c r="M98" s="1093">
        <v>-0.375</v>
      </c>
      <c r="N98" s="1079"/>
    </row>
    <row r="99" spans="1:14" s="936" customFormat="1">
      <c r="A99" s="1082"/>
      <c r="B99" s="1273" t="s">
        <v>648</v>
      </c>
      <c r="C99" s="1706" t="s">
        <v>11</v>
      </c>
      <c r="D99" s="1707"/>
      <c r="E99" s="1708"/>
      <c r="F99" s="1094">
        <v>-0.875</v>
      </c>
      <c r="G99" s="1094">
        <v>-0.875</v>
      </c>
      <c r="H99" s="1094">
        <v>-0.875</v>
      </c>
      <c r="I99" s="1094">
        <v>-0.875</v>
      </c>
      <c r="J99" s="1094">
        <v>-0.87500000000000022</v>
      </c>
      <c r="K99" s="1094">
        <v>-0.87500000000000022</v>
      </c>
      <c r="L99" s="1094">
        <v>-0.87500000000000022</v>
      </c>
      <c r="M99" s="1093">
        <v>-0.87500000000000022</v>
      </c>
      <c r="N99" s="1079"/>
    </row>
    <row r="100" spans="1:14" s="936" customFormat="1" ht="15.75" thickBot="1">
      <c r="A100" s="1082"/>
      <c r="B100" s="1089"/>
      <c r="C100" s="1718" t="s">
        <v>97</v>
      </c>
      <c r="D100" s="1719"/>
      <c r="E100" s="1720"/>
      <c r="F100" s="1158">
        <v>-1.5</v>
      </c>
      <c r="G100" s="1158">
        <v>-1.5</v>
      </c>
      <c r="H100" s="1158">
        <v>-1.5</v>
      </c>
      <c r="I100" s="1158">
        <v>-1.5</v>
      </c>
      <c r="J100" s="1158">
        <v>-1.75</v>
      </c>
      <c r="K100" s="1158">
        <v>-1.75</v>
      </c>
      <c r="L100" s="1158">
        <v>-1.75</v>
      </c>
      <c r="M100" s="1279">
        <v>-1.75</v>
      </c>
      <c r="N100" s="1079"/>
    </row>
    <row r="101" spans="1:14" s="936" customFormat="1">
      <c r="A101" s="1082"/>
      <c r="B101" s="1772" t="s">
        <v>68</v>
      </c>
      <c r="C101" s="1715" t="s">
        <v>69</v>
      </c>
      <c r="D101" s="1716"/>
      <c r="E101" s="1717"/>
      <c r="F101" s="1091">
        <v>-0.25</v>
      </c>
      <c r="G101" s="1091">
        <v>-0.25</v>
      </c>
      <c r="H101" s="1091">
        <v>-0.25</v>
      </c>
      <c r="I101" s="1091">
        <v>-0.25</v>
      </c>
      <c r="J101" s="1091">
        <v>-0.25</v>
      </c>
      <c r="K101" s="1091">
        <v>-0.25</v>
      </c>
      <c r="L101" s="1091">
        <v>-0.25</v>
      </c>
      <c r="M101" s="1090" t="s">
        <v>14</v>
      </c>
      <c r="N101" s="1079"/>
    </row>
    <row r="102" spans="1:14" s="936" customFormat="1">
      <c r="A102" s="1082"/>
      <c r="B102" s="1760"/>
      <c r="C102" s="1706" t="s">
        <v>161</v>
      </c>
      <c r="D102" s="1707"/>
      <c r="E102" s="1708"/>
      <c r="F102" s="1094">
        <v>-0.25</v>
      </c>
      <c r="G102" s="1094">
        <v>-0.25</v>
      </c>
      <c r="H102" s="1094">
        <v>-0.25</v>
      </c>
      <c r="I102" s="1094">
        <v>-0.25</v>
      </c>
      <c r="J102" s="1094">
        <v>-0.25</v>
      </c>
      <c r="K102" s="1094">
        <v>-0.25</v>
      </c>
      <c r="L102" s="1094">
        <v>-0.25</v>
      </c>
      <c r="M102" s="1093">
        <v>-0.25</v>
      </c>
      <c r="N102" s="1079"/>
    </row>
    <row r="103" spans="1:14" s="936" customFormat="1" ht="15.75" thickBot="1">
      <c r="A103" s="1082"/>
      <c r="B103" s="1773"/>
      <c r="C103" s="1712" t="s">
        <v>469</v>
      </c>
      <c r="D103" s="1713"/>
      <c r="E103" s="1714"/>
      <c r="F103" s="1087">
        <v>-1.25</v>
      </c>
      <c r="G103" s="1087">
        <v>-1.25</v>
      </c>
      <c r="H103" s="1087">
        <v>-1.25</v>
      </c>
      <c r="I103" s="1087">
        <v>-1.25</v>
      </c>
      <c r="J103" s="1087">
        <v>-1.25</v>
      </c>
      <c r="K103" s="1087">
        <v>-1.625</v>
      </c>
      <c r="L103" s="1087">
        <v>-1.625</v>
      </c>
      <c r="M103" s="1086">
        <v>-1.625</v>
      </c>
      <c r="N103" s="1079"/>
    </row>
    <row r="104" spans="1:14" s="936" customFormat="1" ht="15.75" thickBot="1">
      <c r="A104" s="1082"/>
      <c r="B104" s="1089" t="s">
        <v>133</v>
      </c>
      <c r="C104" s="1709" t="s">
        <v>134</v>
      </c>
      <c r="D104" s="1710"/>
      <c r="E104" s="1711"/>
      <c r="F104" s="1087">
        <v>0</v>
      </c>
      <c r="G104" s="1087">
        <v>0</v>
      </c>
      <c r="H104" s="1087">
        <v>0</v>
      </c>
      <c r="I104" s="1087">
        <v>0</v>
      </c>
      <c r="J104" s="1087">
        <v>0</v>
      </c>
      <c r="K104" s="1087">
        <v>-0.25</v>
      </c>
      <c r="L104" s="1087">
        <v>-0.5</v>
      </c>
      <c r="M104" s="1086">
        <v>-0.5</v>
      </c>
      <c r="N104" s="1079"/>
    </row>
    <row r="105" spans="1:14" s="936" customFormat="1">
      <c r="A105" s="1082"/>
      <c r="B105" s="1479"/>
      <c r="C105" s="1702"/>
      <c r="D105" s="1702"/>
      <c r="E105" s="1702"/>
      <c r="F105" s="1216"/>
      <c r="G105" s="1216"/>
      <c r="H105" s="1216"/>
      <c r="I105" s="1216"/>
      <c r="J105" s="1216"/>
      <c r="K105" s="1216"/>
      <c r="L105" s="1216"/>
      <c r="M105" s="1216"/>
      <c r="N105" s="1079"/>
    </row>
    <row r="106" spans="1:14" s="936" customFormat="1">
      <c r="A106" s="1082"/>
      <c r="B106" s="1478"/>
      <c r="C106" s="1478"/>
      <c r="D106" s="1478"/>
      <c r="E106" s="1478"/>
      <c r="F106" s="1158"/>
      <c r="G106" s="1158"/>
      <c r="H106" s="1158"/>
      <c r="I106" s="1158"/>
      <c r="J106" s="1158"/>
      <c r="K106" s="1158"/>
      <c r="L106" s="1158"/>
      <c r="M106" s="1158"/>
      <c r="N106" s="1079"/>
    </row>
    <row r="107" spans="1:14" s="936" customFormat="1">
      <c r="A107" s="1082"/>
      <c r="B107" s="1478"/>
      <c r="C107" s="1478"/>
      <c r="D107" s="1478"/>
      <c r="E107" s="1478"/>
      <c r="F107" s="1158"/>
      <c r="G107" s="1158"/>
      <c r="H107" s="1158"/>
      <c r="I107" s="1158"/>
      <c r="J107" s="1158"/>
      <c r="K107" s="1158"/>
      <c r="L107" s="1158"/>
      <c r="M107" s="1158"/>
      <c r="N107" s="1079"/>
    </row>
    <row r="108" spans="1:14" s="936" customFormat="1">
      <c r="A108" s="1082"/>
      <c r="B108" s="1478"/>
      <c r="C108" s="1478"/>
      <c r="D108" s="1478"/>
      <c r="E108" s="1478"/>
      <c r="F108" s="1158"/>
      <c r="G108" s="1158"/>
      <c r="H108" s="1158"/>
      <c r="I108" s="1158"/>
      <c r="J108" s="1158"/>
      <c r="K108" s="1158"/>
      <c r="L108" s="1158"/>
      <c r="M108" s="1158"/>
      <c r="N108" s="1079"/>
    </row>
    <row r="109" spans="1:14" s="936" customFormat="1">
      <c r="A109" s="1082"/>
      <c r="B109" s="1478"/>
      <c r="C109" s="1478"/>
      <c r="D109" s="1478"/>
      <c r="E109" s="1478"/>
      <c r="F109" s="1158"/>
      <c r="G109" s="1158"/>
      <c r="H109" s="1158"/>
      <c r="I109" s="1158"/>
      <c r="J109" s="1158"/>
      <c r="K109" s="1158"/>
      <c r="L109" s="1158"/>
      <c r="M109" s="1158"/>
      <c r="N109" s="1079"/>
    </row>
    <row r="110" spans="1:14" s="936" customFormat="1" ht="15" customHeight="1">
      <c r="A110" s="1082"/>
      <c r="N110" s="1079"/>
    </row>
    <row r="111" spans="1:14" s="936" customFormat="1" ht="15" customHeight="1">
      <c r="A111" s="1082"/>
      <c r="N111" s="1079"/>
    </row>
    <row r="112" spans="1:14" s="936" customFormat="1" ht="15" customHeight="1">
      <c r="A112" s="1082"/>
      <c r="N112" s="1079"/>
    </row>
    <row r="113" spans="1:14" s="936" customFormat="1" ht="15" customHeight="1">
      <c r="A113" s="1082"/>
      <c r="N113" s="1079"/>
    </row>
    <row r="114" spans="1:14" s="936" customFormat="1" ht="15" customHeight="1">
      <c r="A114" s="1082"/>
      <c r="N114" s="1079"/>
    </row>
    <row r="115" spans="1:14" s="936" customFormat="1">
      <c r="A115" s="1082"/>
      <c r="N115" s="1079"/>
    </row>
    <row r="116" spans="1:14" s="936" customFormat="1">
      <c r="A116" s="1082"/>
      <c r="N116" s="1079"/>
    </row>
    <row r="117" spans="1:14" s="936" customFormat="1">
      <c r="A117" s="1082"/>
      <c r="N117" s="1079"/>
    </row>
    <row r="118" spans="1:14" s="936" customFormat="1">
      <c r="A118" s="1082"/>
      <c r="N118" s="1079"/>
    </row>
    <row r="119" spans="1:14" s="936" customFormat="1">
      <c r="A119" s="1082"/>
      <c r="G119" s="1081"/>
      <c r="H119" s="1080"/>
      <c r="N119" s="1079"/>
    </row>
    <row r="120" spans="1:14" s="936" customFormat="1">
      <c r="A120" s="1082"/>
      <c r="G120" s="1081"/>
      <c r="H120" s="1080"/>
      <c r="N120" s="1079"/>
    </row>
    <row r="121" spans="1:14" s="936" customFormat="1">
      <c r="A121" s="1082"/>
      <c r="G121" s="1081"/>
      <c r="H121" s="1080"/>
      <c r="N121" s="1079"/>
    </row>
    <row r="122" spans="1:14" s="936" customFormat="1">
      <c r="A122" s="1082"/>
      <c r="G122" s="1081"/>
      <c r="H122" s="1080"/>
      <c r="N122" s="1079"/>
    </row>
    <row r="123" spans="1:14" s="936" customFormat="1">
      <c r="A123" s="1082"/>
      <c r="G123" s="1081"/>
      <c r="H123" s="1080"/>
      <c r="N123" s="1079"/>
    </row>
    <row r="124" spans="1:14" s="936" customFormat="1">
      <c r="A124" s="1082"/>
      <c r="N124" s="1079"/>
    </row>
    <row r="125" spans="1:14" s="936" customFormat="1">
      <c r="A125" s="1082"/>
      <c r="N125" s="1079"/>
    </row>
    <row r="126" spans="1:14" s="936" customFormat="1">
      <c r="A126" s="1082"/>
      <c r="N126" s="1079"/>
    </row>
    <row r="127" spans="1:14" s="936" customFormat="1" ht="15.75" thickBot="1">
      <c r="A127" s="1463"/>
      <c r="B127" s="1017"/>
      <c r="C127" s="1017"/>
      <c r="D127" s="1017"/>
      <c r="E127" s="1017"/>
      <c r="F127" s="1017"/>
      <c r="G127" s="1017"/>
      <c r="H127" s="1017"/>
      <c r="I127" s="1017"/>
      <c r="J127" s="1017"/>
      <c r="K127" s="1017"/>
      <c r="L127" s="1017"/>
      <c r="M127" s="1017"/>
      <c r="N127" s="1464"/>
    </row>
    <row r="128" spans="1:14" s="936" customFormat="1">
      <c r="A128" s="937"/>
      <c r="B128" s="1425"/>
      <c r="C128" s="1425"/>
      <c r="D128" s="1425"/>
      <c r="E128" s="1425"/>
      <c r="F128" s="1425"/>
      <c r="G128" s="1425"/>
      <c r="H128" s="1425"/>
      <c r="I128" s="1425"/>
      <c r="J128" s="1425"/>
      <c r="K128" s="1425"/>
      <c r="L128" s="1425"/>
      <c r="M128" s="1425"/>
    </row>
    <row r="129" spans="1:13" s="936" customFormat="1">
      <c r="A129" s="937"/>
      <c r="B129" s="1425"/>
      <c r="C129" s="1425"/>
      <c r="D129" s="1425"/>
      <c r="E129" s="1425"/>
      <c r="F129" s="1425"/>
      <c r="G129" s="1425"/>
      <c r="H129" s="1425"/>
      <c r="I129" s="1425"/>
      <c r="J129" s="1425"/>
      <c r="K129" s="1425"/>
      <c r="L129" s="1425"/>
      <c r="M129" s="1425"/>
    </row>
    <row r="130" spans="1:13" s="936" customFormat="1">
      <c r="A130" s="937"/>
      <c r="B130" s="1425"/>
      <c r="C130" s="1425"/>
      <c r="D130" s="1425"/>
      <c r="E130" s="1425"/>
      <c r="F130" s="1425"/>
      <c r="G130" s="1425"/>
      <c r="H130" s="1425"/>
      <c r="I130" s="1425"/>
      <c r="J130" s="1425"/>
      <c r="K130" s="1425"/>
      <c r="L130" s="1425"/>
      <c r="M130" s="1425"/>
    </row>
    <row r="131" spans="1:13">
      <c r="B131" s="1425"/>
      <c r="C131" s="1425"/>
      <c r="D131" s="1425"/>
      <c r="E131" s="1425"/>
      <c r="F131" s="1425"/>
      <c r="G131" s="1425"/>
      <c r="H131" s="1425"/>
      <c r="I131" s="1425"/>
      <c r="J131" s="1425"/>
      <c r="K131" s="1425"/>
      <c r="L131" s="1425"/>
      <c r="M131" s="1425"/>
    </row>
  </sheetData>
  <mergeCells count="96"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  <mergeCell ref="D43:E43"/>
    <mergeCell ref="G35:J35"/>
    <mergeCell ref="H29:I29"/>
    <mergeCell ref="H33:I33"/>
    <mergeCell ref="H32:I32"/>
    <mergeCell ref="G16:H16"/>
    <mergeCell ref="G23:H23"/>
    <mergeCell ref="G19:H19"/>
    <mergeCell ref="G18:H18"/>
    <mergeCell ref="G17:H17"/>
    <mergeCell ref="C69:E69"/>
    <mergeCell ref="F66:M66"/>
    <mergeCell ref="B67:E67"/>
    <mergeCell ref="B69:B70"/>
    <mergeCell ref="C70:E70"/>
    <mergeCell ref="C68:E68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49:M49"/>
    <mergeCell ref="H31:I31"/>
    <mergeCell ref="K24:M25"/>
    <mergeCell ref="H30:I30"/>
    <mergeCell ref="G26:H26"/>
    <mergeCell ref="G25:H25"/>
    <mergeCell ref="G24:H24"/>
    <mergeCell ref="K18:M19"/>
    <mergeCell ref="G22:H22"/>
    <mergeCell ref="G21:H21"/>
    <mergeCell ref="G20:H20"/>
    <mergeCell ref="K20:M21"/>
    <mergeCell ref="K22:M23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topLeftCell="A39" zoomScaleNormal="130" workbookViewId="0">
      <selection activeCell="T57" sqref="T5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788"/>
      <c r="C9" s="789"/>
      <c r="D9" s="789"/>
      <c r="E9" s="789"/>
      <c r="F9" s="2004" t="s">
        <v>329</v>
      </c>
      <c r="G9" s="2004"/>
      <c r="H9" s="2005">
        <v>46223</v>
      </c>
      <c r="I9" s="2005"/>
      <c r="J9" s="2005"/>
      <c r="K9" s="2005"/>
      <c r="L9" s="789"/>
      <c r="M9" s="789"/>
      <c r="N9" s="789"/>
      <c r="O9" s="790"/>
      <c r="P9" s="308"/>
    </row>
    <row r="10" spans="1:16" ht="9.75" hidden="1" customHeight="1">
      <c r="A10" s="309"/>
      <c r="B10" s="791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792"/>
      <c r="P10" s="308"/>
    </row>
    <row r="11" spans="1:16" ht="15" hidden="1" customHeight="1">
      <c r="A11" s="309"/>
      <c r="B11" s="791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792"/>
      <c r="P11" s="308"/>
    </row>
    <row r="12" spans="1:16" ht="15" customHeight="1">
      <c r="A12" s="309"/>
      <c r="B12" s="2006" t="s">
        <v>455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2007"/>
      <c r="P12" s="308"/>
    </row>
    <row r="13" spans="1:16" ht="9.9499999999999993" customHeight="1">
      <c r="A13" s="316"/>
      <c r="B13" s="351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9"/>
      <c r="P13" s="318"/>
    </row>
    <row r="14" spans="1:16" ht="9.9499999999999993" customHeight="1">
      <c r="A14" s="316"/>
      <c r="B14" s="2002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874"/>
      <c r="P14" s="318"/>
    </row>
    <row r="15" spans="1:16" ht="9.9499999999999993" customHeight="1">
      <c r="A15" s="316"/>
      <c r="B15" s="2003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875"/>
      <c r="P15" s="318"/>
    </row>
    <row r="16" spans="1:16" ht="9.9499999999999993" customHeight="1">
      <c r="A16" s="317"/>
      <c r="B16" s="793"/>
      <c r="C16" s="320"/>
      <c r="D16" s="320"/>
      <c r="E16" s="320"/>
      <c r="F16" s="320"/>
      <c r="G16" s="321"/>
      <c r="H16" s="317"/>
      <c r="I16" s="322"/>
      <c r="J16" s="2008" t="s">
        <v>255</v>
      </c>
      <c r="K16" s="2009"/>
      <c r="L16" s="2009"/>
      <c r="M16" s="2010"/>
      <c r="N16" s="2011"/>
      <c r="O16" s="610"/>
      <c r="P16" s="318"/>
    </row>
    <row r="17" spans="1:17" ht="5.0999999999999996" customHeight="1">
      <c r="A17" s="317"/>
      <c r="B17" s="351"/>
      <c r="C17" s="323"/>
      <c r="D17" s="323"/>
      <c r="E17" s="323"/>
      <c r="F17" s="323"/>
      <c r="G17" s="324"/>
      <c r="H17" s="317"/>
      <c r="I17" s="325"/>
      <c r="J17" s="2009"/>
      <c r="K17" s="2009"/>
      <c r="L17" s="2009"/>
      <c r="M17" s="2010"/>
      <c r="N17" s="2011"/>
      <c r="O17" s="794"/>
      <c r="P17" s="318"/>
    </row>
    <row r="18" spans="1:17" ht="9.9499999999999993" customHeight="1">
      <c r="A18" s="317"/>
      <c r="B18" s="351"/>
      <c r="C18" s="327" t="s">
        <v>164</v>
      </c>
      <c r="D18" s="328"/>
      <c r="E18" s="328"/>
      <c r="F18" s="329"/>
      <c r="G18" s="330"/>
      <c r="H18" s="317"/>
      <c r="I18" s="325"/>
      <c r="J18" s="2009"/>
      <c r="K18" s="2009"/>
      <c r="L18" s="2009"/>
      <c r="M18" s="2010"/>
      <c r="N18" s="2011"/>
      <c r="O18" s="609"/>
      <c r="P18" s="318"/>
    </row>
    <row r="19" spans="1:17" ht="9.9499999999999993" customHeight="1">
      <c r="A19" s="317"/>
      <c r="B19" s="351"/>
      <c r="C19" s="331" t="s">
        <v>165</v>
      </c>
      <c r="D19" s="795" t="s">
        <v>635</v>
      </c>
      <c r="E19" s="328"/>
      <c r="F19" s="333"/>
      <c r="G19" s="334"/>
      <c r="H19" s="317"/>
      <c r="I19" s="325"/>
      <c r="J19" s="2009"/>
      <c r="K19" s="2009"/>
      <c r="L19" s="2009"/>
      <c r="M19" s="2010"/>
      <c r="N19" s="2011"/>
      <c r="O19" s="609"/>
      <c r="P19" s="318"/>
    </row>
    <row r="20" spans="1:17" ht="9.9499999999999993" customHeight="1">
      <c r="A20" s="317"/>
      <c r="B20" s="351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2009"/>
      <c r="K20" s="2009"/>
      <c r="L20" s="2009"/>
      <c r="M20" s="2010"/>
      <c r="N20" s="2011"/>
      <c r="O20" s="609"/>
      <c r="P20" s="318"/>
    </row>
    <row r="21" spans="1:17" ht="9.9499999999999993" customHeight="1">
      <c r="A21" s="317"/>
      <c r="B21" s="351"/>
      <c r="C21" s="358" t="s">
        <v>169</v>
      </c>
      <c r="D21" s="359"/>
      <c r="E21" s="335"/>
      <c r="F21" s="335"/>
      <c r="G21" s="330"/>
      <c r="H21" s="317"/>
      <c r="I21" s="325"/>
      <c r="J21" s="2009"/>
      <c r="K21" s="2009"/>
      <c r="L21" s="2009"/>
      <c r="M21" s="2010"/>
      <c r="N21" s="2011"/>
      <c r="O21" s="609"/>
      <c r="P21" s="318"/>
    </row>
    <row r="22" spans="1:17" ht="5.0999999999999996" customHeight="1">
      <c r="A22" s="317"/>
      <c r="B22" s="351"/>
      <c r="C22" s="358"/>
      <c r="D22" s="359"/>
      <c r="E22" s="335"/>
      <c r="F22" s="335"/>
      <c r="G22" s="330"/>
      <c r="H22" s="317"/>
      <c r="I22" s="325"/>
      <c r="J22" s="2009"/>
      <c r="K22" s="2009"/>
      <c r="L22" s="2009"/>
      <c r="M22" s="2010"/>
      <c r="N22" s="2011"/>
      <c r="O22" s="609"/>
      <c r="P22" s="318"/>
    </row>
    <row r="23" spans="1:17" ht="9.9499999999999993" customHeight="1">
      <c r="A23" s="317"/>
      <c r="B23" s="79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797"/>
      <c r="P23" s="318"/>
    </row>
    <row r="24" spans="1:17" ht="9.9499999999999993" customHeight="1">
      <c r="A24" s="316"/>
      <c r="B24" s="351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609"/>
      <c r="P24" s="318"/>
    </row>
    <row r="25" spans="1:17" ht="9.9499999999999993" customHeight="1">
      <c r="A25" s="316"/>
      <c r="B25" s="2002" t="s">
        <v>170</v>
      </c>
      <c r="C25" s="1674"/>
      <c r="D25" s="1674"/>
      <c r="E25" s="1674"/>
      <c r="F25" s="1674"/>
      <c r="G25" s="1675"/>
      <c r="H25" s="340"/>
      <c r="I25" s="1673" t="s">
        <v>173</v>
      </c>
      <c r="J25" s="1674"/>
      <c r="K25" s="1674"/>
      <c r="L25" s="1674"/>
      <c r="M25" s="1674"/>
      <c r="N25" s="1674"/>
      <c r="O25" s="1874"/>
      <c r="P25" s="318"/>
    </row>
    <row r="26" spans="1:17" ht="9.9499999999999993" customHeight="1">
      <c r="A26" s="316"/>
      <c r="B26" s="2003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87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614" t="s">
        <v>174</v>
      </c>
      <c r="L27" s="366"/>
      <c r="M27" s="606">
        <v>-0.125</v>
      </c>
      <c r="N27" s="366"/>
      <c r="O27" s="367"/>
      <c r="P27" s="318"/>
    </row>
    <row r="28" spans="1:17" ht="11.25" customHeight="1">
      <c r="A28" s="316"/>
      <c r="B28" s="351"/>
      <c r="C28" s="1679" t="s">
        <v>456</v>
      </c>
      <c r="D28" s="1680"/>
      <c r="E28" s="1680"/>
      <c r="F28" s="1680"/>
      <c r="G28" s="1928"/>
      <c r="H28" s="317"/>
      <c r="I28" s="778"/>
      <c r="J28" s="780"/>
      <c r="K28" s="612" t="s">
        <v>187</v>
      </c>
      <c r="L28" s="780"/>
      <c r="M28" s="613">
        <v>-0.25</v>
      </c>
      <c r="N28" s="780"/>
      <c r="O28" s="779"/>
      <c r="P28" s="318"/>
    </row>
    <row r="29" spans="1:17" ht="11.25" customHeight="1">
      <c r="A29" s="316"/>
      <c r="B29" s="351"/>
      <c r="C29" s="587" t="s">
        <v>457</v>
      </c>
      <c r="D29" s="345"/>
      <c r="E29" s="345"/>
      <c r="F29" s="115"/>
      <c r="G29" s="116" t="s">
        <v>171</v>
      </c>
      <c r="H29" s="317"/>
      <c r="I29" s="775"/>
      <c r="J29" s="776"/>
      <c r="K29" s="612" t="s">
        <v>188</v>
      </c>
      <c r="L29" s="776"/>
      <c r="M29" s="613">
        <v>-0.375</v>
      </c>
      <c r="N29" s="776"/>
      <c r="O29" s="777"/>
      <c r="P29" s="318"/>
      <c r="Q29" s="440"/>
    </row>
    <row r="30" spans="1:17" ht="9.9499999999999993" customHeight="1">
      <c r="A30" s="316"/>
      <c r="B30" s="351"/>
      <c r="C30" s="587" t="s">
        <v>458</v>
      </c>
      <c r="D30" s="345"/>
      <c r="E30" s="345"/>
      <c r="F30" s="115"/>
      <c r="G30" s="116" t="s">
        <v>172</v>
      </c>
      <c r="H30" s="317"/>
      <c r="I30" s="775"/>
      <c r="J30" s="776"/>
      <c r="K30" s="612" t="s">
        <v>189</v>
      </c>
      <c r="L30" s="776"/>
      <c r="M30" s="613">
        <v>-0.5</v>
      </c>
      <c r="N30" s="776"/>
      <c r="O30" s="777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1987" t="s">
        <v>31</v>
      </c>
      <c r="J32" s="1988"/>
      <c r="K32" s="1988"/>
      <c r="L32" s="1988"/>
      <c r="M32" s="1988"/>
      <c r="N32" s="1988"/>
      <c r="O32" s="1989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773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773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I35" s="781"/>
      <c r="J35" s="605"/>
      <c r="K35" s="605"/>
      <c r="L35" s="605"/>
      <c r="M35" s="605"/>
      <c r="N35" s="605"/>
      <c r="O35" s="774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1645" t="s">
        <v>175</v>
      </c>
      <c r="C37" s="1646"/>
      <c r="D37" s="1646"/>
      <c r="E37" s="1646"/>
      <c r="F37" s="1646"/>
      <c r="G37" s="1646"/>
      <c r="H37" s="1646"/>
      <c r="I37" s="1646"/>
      <c r="J37" s="1646"/>
      <c r="K37" s="1646"/>
      <c r="L37" s="1646"/>
      <c r="M37" s="1646"/>
      <c r="N37" s="1646"/>
      <c r="O37" s="1647"/>
      <c r="P37" s="318"/>
    </row>
    <row r="38" spans="1:16" ht="9.9499999999999993" customHeight="1">
      <c r="A38" s="316"/>
      <c r="B38" s="1648"/>
      <c r="C38" s="1649"/>
      <c r="D38" s="1649"/>
      <c r="E38" s="1649"/>
      <c r="F38" s="1649"/>
      <c r="G38" s="1649"/>
      <c r="H38" s="1649"/>
      <c r="I38" s="1649"/>
      <c r="J38" s="1649"/>
      <c r="K38" s="1649"/>
      <c r="L38" s="1649"/>
      <c r="M38" s="1649"/>
      <c r="N38" s="1649"/>
      <c r="O38" s="1650"/>
      <c r="P38" s="318"/>
    </row>
    <row r="39" spans="1:16" ht="15">
      <c r="A39" s="316"/>
      <c r="B39" s="375"/>
      <c r="C39" s="35" t="s">
        <v>176</v>
      </c>
      <c r="D39" s="385"/>
      <c r="E39" s="385"/>
      <c r="F39" s="385"/>
      <c r="G39" s="385"/>
      <c r="H39" s="386"/>
      <c r="I39" s="384"/>
      <c r="J39" s="384"/>
      <c r="K39" s="384"/>
      <c r="L39" s="384"/>
      <c r="M39" s="384"/>
      <c r="N39" s="384"/>
      <c r="O39" s="378"/>
      <c r="P39" s="318"/>
    </row>
    <row r="40" spans="1:16" ht="15">
      <c r="A40" s="316"/>
      <c r="B40" s="351"/>
      <c r="C40" s="35" t="s">
        <v>349</v>
      </c>
      <c r="D40" s="35"/>
      <c r="E40" s="35"/>
      <c r="F40" s="35"/>
      <c r="G40" s="35"/>
      <c r="H40" s="35"/>
      <c r="I40" s="35"/>
      <c r="J40" s="35"/>
      <c r="K40" s="35"/>
      <c r="L40" s="35"/>
      <c r="M40" s="384"/>
      <c r="N40" s="384"/>
      <c r="O40" s="380"/>
      <c r="P40" s="318"/>
    </row>
    <row r="41" spans="1:16" ht="9.9499999999999993" customHeight="1">
      <c r="A41" s="316"/>
      <c r="B41" s="351"/>
      <c r="H41" s="317"/>
      <c r="O41" s="380"/>
      <c r="P41" s="318"/>
    </row>
    <row r="42" spans="1:16" ht="10.5" customHeight="1">
      <c r="A42" s="316"/>
      <c r="B42" s="362"/>
      <c r="C42" s="345" t="s">
        <v>177</v>
      </c>
      <c r="H42" s="317"/>
      <c r="O42" s="380"/>
      <c r="P42" s="318"/>
    </row>
    <row r="43" spans="1:16" ht="9.9499999999999993" customHeight="1">
      <c r="A43" s="316"/>
      <c r="B43" s="379"/>
      <c r="C43" s="782"/>
      <c r="D43" s="605"/>
      <c r="E43" s="605"/>
      <c r="F43" s="605"/>
      <c r="G43" s="605"/>
      <c r="H43" s="783"/>
      <c r="I43" s="605"/>
      <c r="J43" s="605"/>
      <c r="K43" s="605"/>
      <c r="L43" s="605"/>
      <c r="M43" s="605"/>
      <c r="N43" s="605"/>
      <c r="O43" s="382"/>
      <c r="P43" s="318"/>
    </row>
    <row r="44" spans="1:16" ht="9.9499999999999993" customHeight="1">
      <c r="A44" s="316"/>
      <c r="B44" s="798"/>
      <c r="C44" s="784"/>
      <c r="D44" s="785"/>
      <c r="E44" s="785"/>
      <c r="F44" s="1985"/>
      <c r="G44" s="1985"/>
      <c r="H44" s="786"/>
      <c r="I44" s="597"/>
      <c r="J44" s="597"/>
      <c r="K44" s="597"/>
      <c r="L44" s="597"/>
      <c r="M44" s="597"/>
      <c r="N44" s="597"/>
      <c r="O44" s="799"/>
      <c r="P44" s="318"/>
    </row>
    <row r="45" spans="1:16" ht="9.9499999999999993" customHeight="1" thickBot="1">
      <c r="A45" s="316"/>
      <c r="B45" s="362"/>
      <c r="C45" s="352"/>
      <c r="D45" s="352"/>
      <c r="E45" s="352"/>
      <c r="F45" s="352"/>
      <c r="G45" s="286"/>
      <c r="H45" s="286"/>
      <c r="I45" s="787"/>
      <c r="J45" s="787"/>
      <c r="K45" s="787"/>
      <c r="L45" s="787"/>
      <c r="M45" s="787"/>
      <c r="N45" s="787"/>
      <c r="O45" s="380"/>
      <c r="P45" s="318"/>
    </row>
    <row r="46" spans="1:16" ht="9.9499999999999993" customHeight="1">
      <c r="A46" s="316"/>
      <c r="B46" s="1990" t="s">
        <v>466</v>
      </c>
      <c r="C46" s="1991"/>
      <c r="D46" s="1991"/>
      <c r="E46" s="1991"/>
      <c r="F46" s="1991"/>
      <c r="G46" s="1991"/>
      <c r="H46" s="1991"/>
      <c r="I46" s="1991"/>
      <c r="J46" s="1991"/>
      <c r="K46" s="1991"/>
      <c r="L46" s="1991"/>
      <c r="M46" s="1991"/>
      <c r="N46" s="1991"/>
      <c r="O46" s="1992"/>
      <c r="P46" s="318"/>
    </row>
    <row r="47" spans="1:16" ht="9.9499999999999993" customHeight="1">
      <c r="A47" s="316"/>
      <c r="B47" s="1993"/>
      <c r="C47" s="1994"/>
      <c r="D47" s="1994"/>
      <c r="E47" s="1994"/>
      <c r="F47" s="1994"/>
      <c r="G47" s="1994"/>
      <c r="H47" s="1994"/>
      <c r="I47" s="1994"/>
      <c r="J47" s="1994"/>
      <c r="K47" s="1994"/>
      <c r="L47" s="1994"/>
      <c r="M47" s="1994"/>
      <c r="N47" s="1994"/>
      <c r="O47" s="1995"/>
      <c r="P47" s="318"/>
    </row>
    <row r="48" spans="1:16" ht="9.9499999999999993" customHeight="1">
      <c r="A48" s="316"/>
      <c r="B48" s="1993"/>
      <c r="C48" s="1994"/>
      <c r="D48" s="1994"/>
      <c r="E48" s="1994"/>
      <c r="F48" s="1994"/>
      <c r="G48" s="1994"/>
      <c r="H48" s="1994"/>
      <c r="I48" s="1994"/>
      <c r="J48" s="1994"/>
      <c r="K48" s="1994"/>
      <c r="L48" s="1994"/>
      <c r="M48" s="1994"/>
      <c r="N48" s="1994"/>
      <c r="O48" s="1995"/>
      <c r="P48" s="318"/>
    </row>
    <row r="49" spans="1:16" ht="9.9499999999999993" customHeight="1">
      <c r="A49" s="316"/>
      <c r="B49" s="1996"/>
      <c r="C49" s="1997"/>
      <c r="D49" s="1997"/>
      <c r="E49" s="1997"/>
      <c r="F49" s="1997"/>
      <c r="G49" s="1997"/>
      <c r="H49" s="1997"/>
      <c r="I49" s="1997"/>
      <c r="J49" s="1997"/>
      <c r="K49" s="1997"/>
      <c r="L49" s="1997"/>
      <c r="M49" s="1997"/>
      <c r="N49" s="1997"/>
      <c r="O49" s="1998"/>
      <c r="P49" s="318"/>
    </row>
    <row r="50" spans="1:16" ht="15" customHeight="1">
      <c r="A50" s="316"/>
      <c r="B50" s="1996"/>
      <c r="C50" s="1997"/>
      <c r="D50" s="1997"/>
      <c r="E50" s="1997"/>
      <c r="F50" s="1997"/>
      <c r="G50" s="1997"/>
      <c r="H50" s="1997"/>
      <c r="I50" s="1997"/>
      <c r="J50" s="1997"/>
      <c r="K50" s="1997"/>
      <c r="L50" s="1997"/>
      <c r="M50" s="1997"/>
      <c r="N50" s="1997"/>
      <c r="O50" s="1998"/>
      <c r="P50" s="318"/>
    </row>
    <row r="51" spans="1:16" ht="15" customHeight="1">
      <c r="A51" s="316"/>
      <c r="B51" s="1996"/>
      <c r="C51" s="1997"/>
      <c r="D51" s="1997"/>
      <c r="E51" s="1997"/>
      <c r="F51" s="1997"/>
      <c r="G51" s="1997"/>
      <c r="H51" s="1997"/>
      <c r="I51" s="1997"/>
      <c r="J51" s="1997"/>
      <c r="K51" s="1997"/>
      <c r="L51" s="1997"/>
      <c r="M51" s="1997"/>
      <c r="N51" s="1997"/>
      <c r="O51" s="1998"/>
      <c r="P51" s="318"/>
    </row>
    <row r="52" spans="1:16" ht="9.9499999999999993" customHeight="1">
      <c r="A52" s="316"/>
      <c r="B52" s="1996"/>
      <c r="C52" s="1997"/>
      <c r="D52" s="1997"/>
      <c r="E52" s="1997"/>
      <c r="F52" s="1997"/>
      <c r="G52" s="1997"/>
      <c r="H52" s="1997"/>
      <c r="I52" s="1997"/>
      <c r="J52" s="1997"/>
      <c r="K52" s="1997"/>
      <c r="L52" s="1997"/>
      <c r="M52" s="1997"/>
      <c r="N52" s="1997"/>
      <c r="O52" s="1998"/>
      <c r="P52" s="318"/>
    </row>
    <row r="53" spans="1:16" ht="9.9499999999999993" customHeight="1">
      <c r="A53" s="343"/>
      <c r="B53" s="1996"/>
      <c r="C53" s="1997"/>
      <c r="D53" s="1997"/>
      <c r="E53" s="1997"/>
      <c r="F53" s="1997"/>
      <c r="G53" s="1997"/>
      <c r="H53" s="1997"/>
      <c r="I53" s="1997"/>
      <c r="J53" s="1997"/>
      <c r="K53" s="1997"/>
      <c r="L53" s="1997"/>
      <c r="M53" s="1997"/>
      <c r="N53" s="1997"/>
      <c r="O53" s="1998"/>
      <c r="P53" s="344"/>
    </row>
    <row r="54" spans="1:16" ht="9.9499999999999993" customHeight="1">
      <c r="A54" s="343"/>
      <c r="B54" s="1996"/>
      <c r="C54" s="1997"/>
      <c r="D54" s="1997"/>
      <c r="E54" s="1997"/>
      <c r="F54" s="1997"/>
      <c r="G54" s="1997"/>
      <c r="H54" s="1997"/>
      <c r="I54" s="1997"/>
      <c r="J54" s="1997"/>
      <c r="K54" s="1997"/>
      <c r="L54" s="1997"/>
      <c r="M54" s="1997"/>
      <c r="N54" s="1997"/>
      <c r="O54" s="1998"/>
      <c r="P54" s="344"/>
    </row>
    <row r="55" spans="1:16" ht="9.9499999999999993" customHeight="1">
      <c r="A55" s="343"/>
      <c r="B55" s="1996"/>
      <c r="C55" s="1997"/>
      <c r="D55" s="1997"/>
      <c r="E55" s="1997"/>
      <c r="F55" s="1997"/>
      <c r="G55" s="1997"/>
      <c r="H55" s="1997"/>
      <c r="I55" s="1997"/>
      <c r="J55" s="1997"/>
      <c r="K55" s="1997"/>
      <c r="L55" s="1997"/>
      <c r="M55" s="1997"/>
      <c r="N55" s="1997"/>
      <c r="O55" s="1998"/>
      <c r="P55" s="344"/>
    </row>
    <row r="56" spans="1:16" ht="9.9499999999999993" customHeight="1">
      <c r="A56" s="343"/>
      <c r="B56" s="1996"/>
      <c r="C56" s="1997"/>
      <c r="D56" s="1997"/>
      <c r="E56" s="1997"/>
      <c r="F56" s="1997"/>
      <c r="G56" s="1997"/>
      <c r="H56" s="1997"/>
      <c r="I56" s="1997"/>
      <c r="J56" s="1997"/>
      <c r="K56" s="1997"/>
      <c r="L56" s="1997"/>
      <c r="M56" s="1997"/>
      <c r="N56" s="1997"/>
      <c r="O56" s="1998"/>
      <c r="P56" s="344"/>
    </row>
    <row r="57" spans="1:16" ht="9.9499999999999993" customHeight="1">
      <c r="A57" s="343"/>
      <c r="B57" s="1996"/>
      <c r="C57" s="1997"/>
      <c r="D57" s="1997"/>
      <c r="E57" s="1997"/>
      <c r="F57" s="1997"/>
      <c r="G57" s="1997"/>
      <c r="H57" s="1997"/>
      <c r="I57" s="1997"/>
      <c r="J57" s="1997"/>
      <c r="K57" s="1997"/>
      <c r="L57" s="1997"/>
      <c r="M57" s="1997"/>
      <c r="N57" s="1997"/>
      <c r="O57" s="1998"/>
      <c r="P57" s="344"/>
    </row>
    <row r="58" spans="1:16" ht="9.9499999999999993" customHeight="1">
      <c r="A58" s="343"/>
      <c r="B58" s="1996"/>
      <c r="C58" s="1997"/>
      <c r="D58" s="1997"/>
      <c r="E58" s="1997"/>
      <c r="F58" s="1997"/>
      <c r="G58" s="1997"/>
      <c r="H58" s="1997"/>
      <c r="I58" s="1997"/>
      <c r="J58" s="1997"/>
      <c r="K58" s="1997"/>
      <c r="L58" s="1997"/>
      <c r="M58" s="1997"/>
      <c r="N58" s="1997"/>
      <c r="O58" s="1998"/>
      <c r="P58" s="344"/>
    </row>
    <row r="59" spans="1:16" ht="9.9499999999999993" customHeight="1">
      <c r="A59" s="353"/>
      <c r="B59" s="1996"/>
      <c r="C59" s="1997"/>
      <c r="D59" s="1997"/>
      <c r="E59" s="1997"/>
      <c r="F59" s="1997"/>
      <c r="G59" s="1997"/>
      <c r="H59" s="1997"/>
      <c r="I59" s="1997"/>
      <c r="J59" s="1997"/>
      <c r="K59" s="1997"/>
      <c r="L59" s="1997"/>
      <c r="M59" s="1997"/>
      <c r="N59" s="1997"/>
      <c r="O59" s="1998"/>
      <c r="P59" s="344"/>
    </row>
    <row r="60" spans="1:16" ht="9.9499999999999993" customHeight="1">
      <c r="A60" s="353"/>
      <c r="B60" s="1996"/>
      <c r="C60" s="1997"/>
      <c r="D60" s="1997"/>
      <c r="E60" s="1997"/>
      <c r="F60" s="1997"/>
      <c r="G60" s="1997"/>
      <c r="H60" s="1997"/>
      <c r="I60" s="1997"/>
      <c r="J60" s="1997"/>
      <c r="K60" s="1997"/>
      <c r="L60" s="1997"/>
      <c r="M60" s="1997"/>
      <c r="N60" s="1997"/>
      <c r="O60" s="1998"/>
      <c r="P60" s="344"/>
    </row>
    <row r="61" spans="1:16" ht="9.9499999999999993" customHeight="1">
      <c r="A61" s="353"/>
      <c r="B61" s="1996"/>
      <c r="C61" s="1997"/>
      <c r="D61" s="1997"/>
      <c r="E61" s="1997"/>
      <c r="F61" s="1997"/>
      <c r="G61" s="1997"/>
      <c r="H61" s="1997"/>
      <c r="I61" s="1997"/>
      <c r="J61" s="1997"/>
      <c r="K61" s="1997"/>
      <c r="L61" s="1997"/>
      <c r="M61" s="1997"/>
      <c r="N61" s="1997"/>
      <c r="O61" s="1998"/>
      <c r="P61" s="352"/>
    </row>
    <row r="62" spans="1:16" ht="9.9499999999999993" customHeight="1">
      <c r="A62" s="353"/>
      <c r="B62" s="1996"/>
      <c r="C62" s="1997"/>
      <c r="D62" s="1997"/>
      <c r="E62" s="1997"/>
      <c r="F62" s="1997"/>
      <c r="G62" s="1997"/>
      <c r="H62" s="1997"/>
      <c r="I62" s="1997"/>
      <c r="J62" s="1997"/>
      <c r="K62" s="1997"/>
      <c r="L62" s="1997"/>
      <c r="M62" s="1997"/>
      <c r="N62" s="1997"/>
      <c r="O62" s="1998"/>
      <c r="P62" s="352"/>
    </row>
    <row r="63" spans="1:16" ht="9.9499999999999993" customHeight="1">
      <c r="A63" s="353"/>
      <c r="B63" s="1996"/>
      <c r="C63" s="1997"/>
      <c r="D63" s="1997"/>
      <c r="E63" s="1997"/>
      <c r="F63" s="1997"/>
      <c r="G63" s="1997"/>
      <c r="H63" s="1997"/>
      <c r="I63" s="1997"/>
      <c r="J63" s="1997"/>
      <c r="K63" s="1997"/>
      <c r="L63" s="1997"/>
      <c r="M63" s="1997"/>
      <c r="N63" s="1997"/>
      <c r="O63" s="1998"/>
      <c r="P63" s="352"/>
    </row>
    <row r="64" spans="1:16" ht="9.9499999999999993" customHeight="1">
      <c r="A64" s="353"/>
      <c r="B64" s="1996"/>
      <c r="C64" s="1997"/>
      <c r="D64" s="1997"/>
      <c r="E64" s="1997"/>
      <c r="F64" s="1997"/>
      <c r="G64" s="1997"/>
      <c r="H64" s="1997"/>
      <c r="I64" s="1997"/>
      <c r="J64" s="1997"/>
      <c r="K64" s="1997"/>
      <c r="L64" s="1997"/>
      <c r="M64" s="1997"/>
      <c r="N64" s="1997"/>
      <c r="O64" s="1998"/>
      <c r="P64" s="344"/>
    </row>
    <row r="65" spans="1:16" ht="9.9499999999999993" customHeight="1">
      <c r="A65" s="353"/>
      <c r="B65" s="1996"/>
      <c r="C65" s="1997"/>
      <c r="D65" s="1997"/>
      <c r="E65" s="1997"/>
      <c r="F65" s="1997"/>
      <c r="G65" s="1997"/>
      <c r="H65" s="1997"/>
      <c r="I65" s="1997"/>
      <c r="J65" s="1997"/>
      <c r="K65" s="1997"/>
      <c r="L65" s="1997"/>
      <c r="M65" s="1997"/>
      <c r="N65" s="1997"/>
      <c r="O65" s="1998"/>
      <c r="P65" s="344"/>
    </row>
    <row r="66" spans="1:16" ht="9.9499999999999993" customHeight="1">
      <c r="A66" s="353"/>
      <c r="B66" s="1996"/>
      <c r="C66" s="1997"/>
      <c r="D66" s="1997"/>
      <c r="E66" s="1997"/>
      <c r="F66" s="1997"/>
      <c r="G66" s="1997"/>
      <c r="H66" s="1997"/>
      <c r="I66" s="1997"/>
      <c r="J66" s="1997"/>
      <c r="K66" s="1997"/>
      <c r="L66" s="1997"/>
      <c r="M66" s="1997"/>
      <c r="N66" s="1997"/>
      <c r="O66" s="1998"/>
      <c r="P66" s="344"/>
    </row>
    <row r="67" spans="1:16" ht="9.9499999999999993" customHeight="1">
      <c r="A67" s="353"/>
      <c r="B67" s="1996"/>
      <c r="C67" s="1997"/>
      <c r="D67" s="1997"/>
      <c r="E67" s="1997"/>
      <c r="F67" s="1997"/>
      <c r="G67" s="1997"/>
      <c r="H67" s="1997"/>
      <c r="I67" s="1997"/>
      <c r="J67" s="1997"/>
      <c r="K67" s="1997"/>
      <c r="L67" s="1997"/>
      <c r="M67" s="1997"/>
      <c r="N67" s="1997"/>
      <c r="O67" s="1998"/>
      <c r="P67" s="344"/>
    </row>
    <row r="68" spans="1:16" ht="12" customHeight="1">
      <c r="A68" s="353"/>
      <c r="B68" s="1996"/>
      <c r="C68" s="1997"/>
      <c r="D68" s="1997"/>
      <c r="E68" s="1997"/>
      <c r="F68" s="1997"/>
      <c r="G68" s="1997"/>
      <c r="H68" s="1997"/>
      <c r="I68" s="1997"/>
      <c r="J68" s="1997"/>
      <c r="K68" s="1997"/>
      <c r="L68" s="1997"/>
      <c r="M68" s="1997"/>
      <c r="N68" s="1997"/>
      <c r="O68" s="1998"/>
      <c r="P68" s="344"/>
    </row>
    <row r="69" spans="1:16" ht="12" customHeight="1">
      <c r="A69" s="354"/>
      <c r="B69" s="1996"/>
      <c r="C69" s="1997"/>
      <c r="D69" s="1997"/>
      <c r="E69" s="1997"/>
      <c r="F69" s="1997"/>
      <c r="G69" s="1997"/>
      <c r="H69" s="1997"/>
      <c r="I69" s="1997"/>
      <c r="J69" s="1997"/>
      <c r="K69" s="1997"/>
      <c r="L69" s="1997"/>
      <c r="M69" s="1997"/>
      <c r="N69" s="1997"/>
      <c r="O69" s="1998"/>
      <c r="P69" s="346"/>
    </row>
    <row r="70" spans="1:16" ht="9.9499999999999993" customHeight="1">
      <c r="A70" s="347"/>
      <c r="B70" s="1996"/>
      <c r="C70" s="1997"/>
      <c r="D70" s="1997"/>
      <c r="E70" s="1997"/>
      <c r="F70" s="1997"/>
      <c r="G70" s="1997"/>
      <c r="H70" s="1997"/>
      <c r="I70" s="1997"/>
      <c r="J70" s="1997"/>
      <c r="K70" s="1997"/>
      <c r="L70" s="1997"/>
      <c r="M70" s="1997"/>
      <c r="N70" s="1997"/>
      <c r="O70" s="1998"/>
      <c r="P70" s="347"/>
    </row>
    <row r="71" spans="1:16" ht="89.25" customHeight="1" thickBot="1">
      <c r="A71" s="347"/>
      <c r="B71" s="1999"/>
      <c r="C71" s="2000"/>
      <c r="D71" s="2000"/>
      <c r="E71" s="2000"/>
      <c r="F71" s="2000"/>
      <c r="G71" s="2000"/>
      <c r="H71" s="2000"/>
      <c r="I71" s="2000"/>
      <c r="J71" s="2000"/>
      <c r="K71" s="2000"/>
      <c r="L71" s="2000"/>
      <c r="M71" s="2000"/>
      <c r="N71" s="2000"/>
      <c r="O71" s="2001"/>
      <c r="P71" s="347"/>
    </row>
    <row r="72" spans="1:16" ht="6.6" customHeight="1">
      <c r="B72" s="1986" t="s">
        <v>178</v>
      </c>
      <c r="C72" s="1662"/>
      <c r="D72" s="1662"/>
      <c r="E72" s="1662"/>
      <c r="F72" s="1662"/>
      <c r="G72" s="1662"/>
      <c r="H72" s="1662"/>
      <c r="I72" s="1662"/>
      <c r="J72" s="1662"/>
      <c r="K72" s="1662"/>
      <c r="L72" s="1662"/>
      <c r="M72" s="1662"/>
      <c r="N72" s="1662"/>
      <c r="O72" s="1663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workbookViewId="0">
      <selection activeCell="T57" sqref="T57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6.25">
      <c r="A2" s="38"/>
      <c r="B2" s="39"/>
      <c r="C2" s="1793" t="s">
        <v>439</v>
      </c>
      <c r="D2" s="1793"/>
      <c r="E2" s="1793"/>
      <c r="F2" s="1793"/>
      <c r="G2" s="1793"/>
      <c r="H2" s="1793"/>
      <c r="I2" s="1793"/>
      <c r="N2" s="37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46223</v>
      </c>
      <c r="N3" s="37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N4" s="37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N5" s="37"/>
    </row>
    <row r="6" spans="1:14" ht="15.75" thickBot="1">
      <c r="I6" s="417"/>
      <c r="J6" s="417"/>
      <c r="K6" s="417"/>
      <c r="L6" s="417"/>
      <c r="M6" s="418"/>
      <c r="N6" s="37"/>
    </row>
    <row r="7" spans="1:14" ht="15.75" thickBot="1">
      <c r="B7" s="2012" t="s">
        <v>438</v>
      </c>
      <c r="C7" s="2013"/>
      <c r="D7" s="2014"/>
      <c r="I7" s="417"/>
      <c r="K7" s="425" t="s">
        <v>435</v>
      </c>
      <c r="L7" s="425"/>
      <c r="M7" s="1414">
        <v>46223.360266203701</v>
      </c>
      <c r="N7" s="37"/>
    </row>
    <row r="8" spans="1:14" ht="15.75" thickBot="1">
      <c r="A8" s="49" t="s">
        <v>3</v>
      </c>
      <c r="B8" s="50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I8" s="417"/>
      <c r="K8" s="418"/>
      <c r="L8" s="418"/>
      <c r="M8" s="418"/>
      <c r="N8" s="37"/>
    </row>
    <row r="9" spans="1:14" ht="15.75" thickBot="1">
      <c r="A9" s="443">
        <f>margins!$AZ3</f>
        <v>5.75</v>
      </c>
      <c r="B9" s="443">
        <f>margins!BA3-margins!BD3</f>
        <v>93.72</v>
      </c>
      <c r="C9" s="443">
        <f>margins!BB3-margins!BD3</f>
        <v>93.62</v>
      </c>
      <c r="D9" s="443">
        <f>margins!BC3-margins!BD3</f>
        <v>93.62</v>
      </c>
      <c r="E9" s="1545" t="s">
        <v>183</v>
      </c>
      <c r="F9" s="56" t="s">
        <v>95</v>
      </c>
      <c r="G9" s="58">
        <v>101</v>
      </c>
      <c r="I9" s="417"/>
      <c r="K9" s="441" t="s">
        <v>195</v>
      </c>
      <c r="L9" s="442" t="s">
        <v>196</v>
      </c>
      <c r="M9" s="442" t="s">
        <v>197</v>
      </c>
      <c r="N9" s="37"/>
    </row>
    <row r="10" spans="1:14" ht="15.75" thickBot="1">
      <c r="A10" s="443">
        <f>margins!$AZ4</f>
        <v>5.875</v>
      </c>
      <c r="B10" s="443">
        <f>margins!BA4-margins!BD4</f>
        <v>94.72</v>
      </c>
      <c r="C10" s="443">
        <f>margins!BB4-margins!BD4</f>
        <v>94.62</v>
      </c>
      <c r="D10" s="443">
        <f>margins!BC4-margins!BD4</f>
        <v>94.62</v>
      </c>
      <c r="E10" s="1545" t="s">
        <v>184</v>
      </c>
      <c r="F10" s="56" t="s">
        <v>96</v>
      </c>
      <c r="G10" s="58">
        <v>101</v>
      </c>
      <c r="I10" s="417"/>
      <c r="K10" s="418"/>
      <c r="L10" s="418"/>
      <c r="M10" s="418"/>
      <c r="N10" s="37"/>
    </row>
    <row r="11" spans="1:14">
      <c r="A11" s="443">
        <f>margins!$AZ5</f>
        <v>6</v>
      </c>
      <c r="B11" s="443">
        <f>margins!BA5-margins!BD5</f>
        <v>95.594999999999999</v>
      </c>
      <c r="C11" s="443">
        <f>margins!BB5-margins!BD5</f>
        <v>95.495000000000005</v>
      </c>
      <c r="D11" s="443">
        <f>margins!BC5-margins!BD5</f>
        <v>95.495000000000005</v>
      </c>
      <c r="E11" s="66" t="s">
        <v>185</v>
      </c>
      <c r="F11" s="56" t="s">
        <v>7</v>
      </c>
      <c r="G11" s="58">
        <v>101</v>
      </c>
      <c r="I11" s="417"/>
      <c r="K11" s="427" t="s">
        <v>198</v>
      </c>
      <c r="L11" s="431" t="s">
        <v>192</v>
      </c>
      <c r="M11" s="435"/>
      <c r="N11" s="37"/>
    </row>
    <row r="12" spans="1:14">
      <c r="A12" s="443">
        <f>margins!$AZ6</f>
        <v>6.125</v>
      </c>
      <c r="B12" s="443">
        <f>margins!BA6-margins!BD6</f>
        <v>96.313000000000002</v>
      </c>
      <c r="C12" s="443">
        <f>margins!BB6-margins!BD6</f>
        <v>96.213000000000008</v>
      </c>
      <c r="D12" s="443">
        <f>margins!BC6-margins!BD6</f>
        <v>96.213000000000008</v>
      </c>
      <c r="E12" s="1546"/>
      <c r="F12" s="56" t="s">
        <v>9</v>
      </c>
      <c r="G12" s="58">
        <v>101</v>
      </c>
      <c r="I12" s="417"/>
      <c r="K12" s="428" t="s">
        <v>199</v>
      </c>
      <c r="L12" s="432">
        <v>7.875</v>
      </c>
      <c r="M12" s="436">
        <f>IF(L11="7/6 Arm",VLOOKUP(L12,$A$8:$D$37,2,FALSE),IF(L11="10/6 Arm",VLOOKUP(L12,$A$8:$D$37,3,FALSE),VLOOKUP(L12,$A$8:$D$37,4,FALSE)))</f>
        <v>104.34400000000001</v>
      </c>
    </row>
    <row r="13" spans="1:14">
      <c r="A13" s="443">
        <f>margins!$AZ7</f>
        <v>6.25</v>
      </c>
      <c r="B13" s="443">
        <f>margins!BA7-margins!BD7</f>
        <v>97</v>
      </c>
      <c r="C13" s="443">
        <f>margins!BB7-margins!BD7</f>
        <v>96.9</v>
      </c>
      <c r="D13" s="443">
        <f>margins!BC7-margins!BD7</f>
        <v>96.9</v>
      </c>
      <c r="E13" s="1545" t="s">
        <v>186</v>
      </c>
      <c r="F13" s="56" t="s">
        <v>11</v>
      </c>
      <c r="G13" s="58">
        <v>100</v>
      </c>
      <c r="I13" s="417"/>
      <c r="K13" s="428" t="s">
        <v>353</v>
      </c>
      <c r="L13" s="432" t="s">
        <v>19</v>
      </c>
      <c r="M13" s="436"/>
    </row>
    <row r="14" spans="1:14" ht="15.75" thickBot="1">
      <c r="A14" s="443">
        <f>margins!$AZ8</f>
        <v>6.375</v>
      </c>
      <c r="B14" s="443">
        <f>margins!BA8-margins!BD8</f>
        <v>97.688000000000002</v>
      </c>
      <c r="C14" s="443">
        <f>margins!BB8-margins!BD8</f>
        <v>97.588000000000008</v>
      </c>
      <c r="D14" s="443">
        <f>margins!BC8-margins!BD8</f>
        <v>97.588000000000008</v>
      </c>
      <c r="E14" s="1546"/>
      <c r="F14" s="59" t="s">
        <v>97</v>
      </c>
      <c r="G14" s="60">
        <f>101-2.5</f>
        <v>98.5</v>
      </c>
      <c r="I14" s="652"/>
      <c r="K14" s="428" t="s">
        <v>200</v>
      </c>
      <c r="L14" s="432" t="s">
        <v>24</v>
      </c>
      <c r="M14" s="436">
        <f>IFERROR(INDEX($C$42:$G$47,MATCH(L14,B42:B47,0),MATCH(L13,C41:G41,0),1),0)</f>
        <v>0</v>
      </c>
    </row>
    <row r="15" spans="1:14">
      <c r="A15" s="443">
        <f>margins!$AZ9</f>
        <v>6.5</v>
      </c>
      <c r="B15" s="443">
        <f>margins!BA9-margins!BD9</f>
        <v>98.375</v>
      </c>
      <c r="C15" s="443">
        <f>margins!BB9-margins!BD9</f>
        <v>98.275000000000006</v>
      </c>
      <c r="D15" s="443">
        <f>margins!BC9-margins!BD9</f>
        <v>98.275000000000006</v>
      </c>
      <c r="E15" s="1546"/>
      <c r="G15" s="1"/>
      <c r="H15" s="1"/>
      <c r="I15" s="419"/>
      <c r="K15" s="428" t="s">
        <v>71</v>
      </c>
      <c r="L15" s="432" t="s">
        <v>191</v>
      </c>
      <c r="M15" s="436">
        <f>IFERROR(INDEX($C$51:$G$74,MATCH(L15,$B$51:$B$74,0),MATCH($L$13,$C$41:$G$41,0),1),0)</f>
        <v>0</v>
      </c>
    </row>
    <row r="16" spans="1:14" ht="15.75" thickBot="1">
      <c r="A16" s="443">
        <f>margins!$AZ10</f>
        <v>6.625</v>
      </c>
      <c r="B16" s="443">
        <f>margins!BA10-margins!BD10</f>
        <v>99</v>
      </c>
      <c r="C16" s="443">
        <f>margins!BB10-margins!BD10</f>
        <v>98.9</v>
      </c>
      <c r="D16" s="443">
        <f>margins!BC10-margins!BD10</f>
        <v>98.9</v>
      </c>
      <c r="E16" s="1546"/>
      <c r="F16" s="1081" t="s">
        <v>594</v>
      </c>
      <c r="G16" s="1277"/>
      <c r="H16" s="1277"/>
      <c r="I16" s="417"/>
      <c r="K16" s="428" t="s">
        <v>201</v>
      </c>
      <c r="L16" s="432" t="s">
        <v>191</v>
      </c>
      <c r="M16" s="436">
        <f>IFERROR(INDEX($C$51:$G$74,MATCH(L16,$B$51:$B$74,0),MATCH($L$13,$C$41:$G$41,0),1),0)</f>
        <v>0</v>
      </c>
    </row>
    <row r="17" spans="1:13" ht="15" customHeight="1">
      <c r="A17" s="443">
        <f>margins!$AZ11</f>
        <v>6.75</v>
      </c>
      <c r="B17" s="443">
        <f>margins!BA11-margins!BD11</f>
        <v>99.625</v>
      </c>
      <c r="C17" s="443">
        <f>margins!BB11-margins!BD11</f>
        <v>99.525000000000006</v>
      </c>
      <c r="D17" s="443">
        <f>margins!BC11-margins!BD11</f>
        <v>99.525000000000006</v>
      </c>
      <c r="E17" s="1546"/>
      <c r="F17" s="1721" t="s">
        <v>639</v>
      </c>
      <c r="G17" s="1722"/>
      <c r="H17" s="1723"/>
      <c r="I17" s="417"/>
      <c r="K17" s="428" t="s">
        <v>47</v>
      </c>
      <c r="L17" s="432" t="s">
        <v>427</v>
      </c>
      <c r="M17" s="436">
        <f>IFERROR(INDEX($C$51:$G$74,MATCH(L17,$B$51:$B$74,0),MATCH($L$13,$C$41:$G$41,0),1),0)</f>
        <v>0</v>
      </c>
    </row>
    <row r="18" spans="1:13">
      <c r="A18" s="443">
        <f>margins!$AZ12</f>
        <v>6.875</v>
      </c>
      <c r="B18" s="443">
        <f>margins!BA12-margins!BD12</f>
        <v>100.25</v>
      </c>
      <c r="C18" s="443">
        <f>margins!BB12-margins!BD12</f>
        <v>100.15</v>
      </c>
      <c r="D18" s="443">
        <f>margins!BC12-margins!BD12</f>
        <v>100.15</v>
      </c>
      <c r="E18" s="1546"/>
      <c r="F18" s="1724"/>
      <c r="G18" s="1725"/>
      <c r="H18" s="1726"/>
      <c r="I18" s="417"/>
      <c r="K18" s="428" t="s">
        <v>56</v>
      </c>
      <c r="L18" s="432" t="s">
        <v>191</v>
      </c>
      <c r="M18" s="436">
        <f>IFERROR(INDEX($C$51:$G$74,MATCH(L18,$B$51:$B$74,0),MATCH($L$13,$C$41:$G$41,0),1),0)</f>
        <v>0</v>
      </c>
    </row>
    <row r="19" spans="1:13" ht="15" customHeight="1">
      <c r="A19" s="443">
        <f>margins!$AZ13</f>
        <v>7</v>
      </c>
      <c r="B19" s="443">
        <f>margins!BA13-margins!BD13</f>
        <v>100.875</v>
      </c>
      <c r="C19" s="443">
        <f>margins!BB13-margins!BD13</f>
        <v>100.77500000000001</v>
      </c>
      <c r="D19" s="443">
        <f>margins!BC13-margins!BD13</f>
        <v>100.77500000000001</v>
      </c>
      <c r="E19" s="1546"/>
      <c r="F19" s="1724" t="s">
        <v>437</v>
      </c>
      <c r="G19" s="1725"/>
      <c r="H19" s="1726"/>
      <c r="I19" s="417"/>
      <c r="K19" s="428" t="s">
        <v>136</v>
      </c>
      <c r="L19" s="432" t="s">
        <v>191</v>
      </c>
      <c r="M19" s="436">
        <f>IFERROR(INDEX($C$51:$G$74,MATCH(L19,$B$51:$B$74,0),MATCH($L$13,$C$41:$G$41,0),1),0)</f>
        <v>0</v>
      </c>
    </row>
    <row r="20" spans="1:13">
      <c r="A20" s="443">
        <f>margins!$AZ14</f>
        <v>7.125</v>
      </c>
      <c r="B20" s="443">
        <f>margins!BA14-margins!BD14</f>
        <v>101.5</v>
      </c>
      <c r="C20" s="443">
        <f>margins!BB14-margins!BD14</f>
        <v>101.4</v>
      </c>
      <c r="D20" s="443">
        <f>margins!BC14-margins!BD14</f>
        <v>101.4</v>
      </c>
      <c r="E20" s="1546"/>
      <c r="F20" s="1724"/>
      <c r="G20" s="1725"/>
      <c r="H20" s="1726"/>
      <c r="I20" s="417"/>
      <c r="K20" s="428" t="s">
        <v>203</v>
      </c>
      <c r="L20" s="432" t="s">
        <v>191</v>
      </c>
      <c r="M20" s="436">
        <f>IFERROR(INDEX($C$62:$G$67,MATCH(L20,B62:B67,0),MATCH($L$13,$C$41:$G$41,0),1),0)</f>
        <v>0</v>
      </c>
    </row>
    <row r="21" spans="1:13">
      <c r="A21" s="443">
        <f>margins!$AZ15</f>
        <v>7.25</v>
      </c>
      <c r="B21" s="443">
        <f>margins!BA15-margins!BD15</f>
        <v>102.125</v>
      </c>
      <c r="C21" s="443">
        <f>margins!BB15-margins!BD15</f>
        <v>102.02500000000001</v>
      </c>
      <c r="D21" s="443">
        <f>margins!BC15-margins!BD15</f>
        <v>102.02500000000001</v>
      </c>
      <c r="E21" s="1546"/>
      <c r="F21" s="1733" t="s">
        <v>735</v>
      </c>
      <c r="G21" s="1734"/>
      <c r="H21" s="1735"/>
      <c r="I21" s="417"/>
      <c r="K21" s="428" t="s">
        <v>204</v>
      </c>
      <c r="L21" s="432" t="s">
        <v>191</v>
      </c>
      <c r="M21" s="436">
        <f>IFERROR(INDEX($C$68:$G$71,MATCH(L21,B68:B71,0),MATCH($L$13,$C$41:$G$41,0),1),0)</f>
        <v>0</v>
      </c>
    </row>
    <row r="22" spans="1:13">
      <c r="A22" s="443">
        <f>margins!$AZ16</f>
        <v>7.375</v>
      </c>
      <c r="B22" s="443">
        <f>margins!BA16-margins!BD16</f>
        <v>102.657</v>
      </c>
      <c r="C22" s="443">
        <f>margins!BB16-margins!BD16</f>
        <v>102.557</v>
      </c>
      <c r="D22" s="443">
        <f>margins!BC16-margins!BD16</f>
        <v>102.557</v>
      </c>
      <c r="E22" s="1546"/>
      <c r="F22" s="1733"/>
      <c r="G22" s="1734"/>
      <c r="H22" s="1735"/>
      <c r="I22" s="417"/>
      <c r="K22" s="428" t="s">
        <v>69</v>
      </c>
      <c r="L22" s="432" t="s">
        <v>191</v>
      </c>
      <c r="M22" s="436">
        <f>IFERROR(INDEX($C$51:$G$74,MATCH(L22,$B$51:$B$74,0),MATCH($L$13,$C$41:$G$41,0),1),0)</f>
        <v>0</v>
      </c>
    </row>
    <row r="23" spans="1:13" ht="15" customHeight="1">
      <c r="A23" s="443">
        <f>margins!$AZ17</f>
        <v>7.5</v>
      </c>
      <c r="B23" s="443">
        <f>margins!BA17-margins!BD17</f>
        <v>103.09400000000001</v>
      </c>
      <c r="C23" s="443">
        <f>margins!BB17-margins!BD17</f>
        <v>102.994</v>
      </c>
      <c r="D23" s="443">
        <f>margins!BC17-margins!BD17</f>
        <v>102.994</v>
      </c>
      <c r="E23" s="1546"/>
      <c r="F23" s="1733" t="s">
        <v>638</v>
      </c>
      <c r="G23" s="1734"/>
      <c r="H23" s="1735"/>
      <c r="I23" s="419"/>
      <c r="K23" s="428" t="s">
        <v>161</v>
      </c>
      <c r="L23" s="432" t="s">
        <v>191</v>
      </c>
      <c r="M23" s="436">
        <f>IFERROR(INDEX($C$51:$G$74,MATCH(L23,$B$51:$B$74,0),MATCH($L$13,$C$41:$G$41,0),1),0)</f>
        <v>0</v>
      </c>
    </row>
    <row r="24" spans="1:13" ht="15.75" thickBot="1">
      <c r="A24" s="443">
        <f>margins!$AZ18</f>
        <v>7.625</v>
      </c>
      <c r="B24" s="443">
        <f>margins!BA18-margins!BD18</f>
        <v>103.532</v>
      </c>
      <c r="C24" s="443">
        <f>margins!BB18-margins!BD18</f>
        <v>103.432</v>
      </c>
      <c r="D24" s="443">
        <f>margins!BC18-margins!BD18</f>
        <v>103.432</v>
      </c>
      <c r="E24" s="1546"/>
      <c r="F24" s="1741"/>
      <c r="G24" s="1742"/>
      <c r="H24" s="1743"/>
      <c r="I24" s="419"/>
      <c r="K24" s="428" t="s">
        <v>139</v>
      </c>
      <c r="L24" s="432" t="s">
        <v>191</v>
      </c>
      <c r="M24" s="436">
        <f>IFERROR(INDEX($C$51:$G$74,MATCH(L24,$B$51:$B$74,0),MATCH($L$13,$C$41:$G$41,0),1),0)</f>
        <v>0</v>
      </c>
    </row>
    <row r="25" spans="1:13">
      <c r="A25" s="443">
        <f>margins!$AZ19</f>
        <v>7.75</v>
      </c>
      <c r="B25" s="443">
        <f>margins!BA19-margins!BD19</f>
        <v>103.96900000000001</v>
      </c>
      <c r="C25" s="443">
        <f>margins!BB19-margins!BD19</f>
        <v>103.869</v>
      </c>
      <c r="D25" s="443">
        <f>margins!BC19-margins!BD19</f>
        <v>103.869</v>
      </c>
      <c r="E25" s="1546"/>
      <c r="F25" s="1780"/>
      <c r="G25" s="1780"/>
      <c r="H25" s="1780"/>
      <c r="I25" s="417"/>
      <c r="K25" s="428" t="s">
        <v>205</v>
      </c>
      <c r="L25" s="432" t="s">
        <v>191</v>
      </c>
      <c r="M25" s="436">
        <f>IF(L25=15,0,IF(L25=30,G37,IF(L25=45,G38,0)))</f>
        <v>0</v>
      </c>
    </row>
    <row r="26" spans="1:13" ht="15.75" thickBot="1">
      <c r="A26" s="443">
        <f>margins!$AZ20</f>
        <v>7.875</v>
      </c>
      <c r="B26" s="443">
        <f>margins!BA20-margins!BD20</f>
        <v>104.34400000000001</v>
      </c>
      <c r="C26" s="443">
        <f>margins!BB20-margins!BD20</f>
        <v>104.244</v>
      </c>
      <c r="D26" s="443">
        <f>margins!BC20-margins!BD20</f>
        <v>104.244</v>
      </c>
      <c r="E26" s="1546"/>
      <c r="F26" s="1780"/>
      <c r="G26" s="1780"/>
      <c r="H26" s="1780"/>
      <c r="I26" s="417"/>
      <c r="K26" s="429" t="s">
        <v>206</v>
      </c>
      <c r="L26" s="433"/>
      <c r="M26" s="437">
        <f>SUM(M14:M25)</f>
        <v>0</v>
      </c>
    </row>
    <row r="27" spans="1:13" ht="15.75" thickBot="1">
      <c r="A27" s="443">
        <f>margins!$AZ21</f>
        <v>8</v>
      </c>
      <c r="B27" s="443">
        <f>margins!BA21-margins!BD21</f>
        <v>104.71900000000001</v>
      </c>
      <c r="C27" s="443">
        <f>margins!BB21-margins!BD21</f>
        <v>104.619</v>
      </c>
      <c r="D27" s="443">
        <f>margins!BC21-margins!BD21</f>
        <v>104.619</v>
      </c>
      <c r="E27" s="1546"/>
      <c r="F27" s="1780"/>
      <c r="G27" s="1780"/>
      <c r="H27" s="1780"/>
      <c r="I27" s="417"/>
      <c r="K27" s="420"/>
      <c r="L27" s="421"/>
      <c r="M27" s="430"/>
    </row>
    <row r="28" spans="1:13" ht="15.75" thickBot="1">
      <c r="A28" s="443">
        <f>margins!$AZ22</f>
        <v>8.125</v>
      </c>
      <c r="B28" s="443">
        <f>margins!BA22-margins!BD22</f>
        <v>105.09400000000001</v>
      </c>
      <c r="C28" s="443">
        <f>margins!BB22-margins!BD22</f>
        <v>104.994</v>
      </c>
      <c r="D28" s="443">
        <f>margins!BC22-margins!BD22</f>
        <v>104.994</v>
      </c>
      <c r="E28" s="1546"/>
      <c r="F28" s="1780"/>
      <c r="G28" s="1780"/>
      <c r="H28" s="1780"/>
      <c r="I28" s="417"/>
      <c r="K28" s="422" t="s">
        <v>207</v>
      </c>
      <c r="L28" s="423"/>
      <c r="M28" s="438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43">
        <f>margins!$AZ23</f>
        <v>8.25</v>
      </c>
      <c r="B29" s="443">
        <f>margins!BA23-margins!BD23</f>
        <v>105.46900000000001</v>
      </c>
      <c r="C29" s="443">
        <f>margins!BB23-margins!BD23</f>
        <v>105.369</v>
      </c>
      <c r="D29" s="443">
        <f>margins!BC23-margins!BD23</f>
        <v>105.369</v>
      </c>
      <c r="E29" s="1546"/>
      <c r="H29" s="1"/>
      <c r="I29" s="417"/>
      <c r="K29" s="417"/>
      <c r="L29" s="417"/>
      <c r="M29" s="417"/>
    </row>
    <row r="30" spans="1:13" ht="15.75" thickBot="1">
      <c r="A30" s="443">
        <f>margins!$AZ24</f>
        <v>8.375</v>
      </c>
      <c r="B30" s="443">
        <f>margins!BA24-margins!BD24</f>
        <v>105.84400000000001</v>
      </c>
      <c r="C30" s="443">
        <f>margins!BB24-margins!BD24</f>
        <v>105.744</v>
      </c>
      <c r="D30" s="443">
        <f>margins!BC24-margins!BD24</f>
        <v>105.744</v>
      </c>
      <c r="E30" s="1546"/>
      <c r="F30" s="395" t="s">
        <v>99</v>
      </c>
      <c r="G30" s="396"/>
      <c r="I30" s="417"/>
      <c r="K30" s="749" t="s">
        <v>444</v>
      </c>
      <c r="L30" s="750"/>
      <c r="M30" s="751"/>
    </row>
    <row r="31" spans="1:13">
      <c r="A31" s="443">
        <f>margins!$AZ25</f>
        <v>8.5</v>
      </c>
      <c r="B31" s="443">
        <f>margins!BA25-margins!BD25</f>
        <v>106.157</v>
      </c>
      <c r="C31" s="443">
        <f>margins!BB25-margins!BD25</f>
        <v>106.057</v>
      </c>
      <c r="D31" s="443">
        <f>margins!BC25-margins!BD25</f>
        <v>106.057</v>
      </c>
      <c r="E31" s="1546"/>
      <c r="F31" s="70" t="s">
        <v>100</v>
      </c>
      <c r="G31" s="71" t="s">
        <v>101</v>
      </c>
      <c r="I31" s="417"/>
    </row>
    <row r="32" spans="1:13">
      <c r="A32" s="443">
        <f>margins!$AZ26</f>
        <v>8.625</v>
      </c>
      <c r="B32" s="443">
        <f>margins!BA26-margins!BD26</f>
        <v>106.46900000000001</v>
      </c>
      <c r="C32" s="443">
        <f>margins!BB26-margins!BD26</f>
        <v>106.369</v>
      </c>
      <c r="D32" s="443">
        <f>margins!BC26-margins!BD26</f>
        <v>106.369</v>
      </c>
      <c r="E32" s="1546"/>
      <c r="F32" s="70" t="s">
        <v>102</v>
      </c>
      <c r="G32" s="400">
        <v>6.5</v>
      </c>
      <c r="H32" s="1522"/>
      <c r="I32" s="1522"/>
    </row>
    <row r="33" spans="1:22">
      <c r="A33" s="443">
        <f>margins!$AZ27</f>
        <v>8.75</v>
      </c>
      <c r="B33" s="443">
        <f>margins!BA27-margins!BD27</f>
        <v>106.782</v>
      </c>
      <c r="C33" s="443">
        <f>margins!BB27-margins!BD27</f>
        <v>106.682</v>
      </c>
      <c r="D33" s="443">
        <f>margins!BC27-margins!BD27</f>
        <v>106.682</v>
      </c>
      <c r="E33" s="1546"/>
      <c r="F33" s="70" t="s">
        <v>253</v>
      </c>
      <c r="G33" s="401" t="s">
        <v>235</v>
      </c>
      <c r="J33" s="417"/>
    </row>
    <row r="34" spans="1:22" ht="15.75" thickBot="1">
      <c r="A34" s="443">
        <f>margins!$AZ28</f>
        <v>8.875</v>
      </c>
      <c r="B34" s="443">
        <f>margins!BA28-margins!BD28</f>
        <v>107.032</v>
      </c>
      <c r="C34" s="443">
        <f>margins!BB28-margins!BD28</f>
        <v>106.932</v>
      </c>
      <c r="D34" s="443">
        <f>margins!BC28-margins!BD28</f>
        <v>106.932</v>
      </c>
      <c r="E34" s="1546"/>
      <c r="F34" s="75" t="s">
        <v>104</v>
      </c>
      <c r="G34" s="76" t="s">
        <v>105</v>
      </c>
      <c r="J34" s="417"/>
      <c r="M34" s="417"/>
    </row>
    <row r="35" spans="1:22" ht="15" customHeight="1" thickBot="1">
      <c r="A35" s="443">
        <f>margins!$AZ29</f>
        <v>9</v>
      </c>
      <c r="B35" s="443">
        <f>margins!BA29-margins!BD29</f>
        <v>107.282</v>
      </c>
      <c r="C35" s="443">
        <f>margins!BB29-margins!BD29</f>
        <v>107.182</v>
      </c>
      <c r="D35" s="443">
        <f>margins!BC29-margins!BD29</f>
        <v>107.182</v>
      </c>
      <c r="E35" s="1546"/>
      <c r="G35" s="1"/>
      <c r="H35" s="737"/>
      <c r="I35" s="737"/>
      <c r="J35" s="417"/>
      <c r="M35" s="417"/>
    </row>
    <row r="36" spans="1:22">
      <c r="A36" s="443">
        <f>margins!$AZ30</f>
        <v>9.125</v>
      </c>
      <c r="B36" s="443">
        <f>margins!BA30-margins!BD30</f>
        <v>107.532</v>
      </c>
      <c r="C36" s="443">
        <f>margins!BB30-margins!BD30</f>
        <v>107.432</v>
      </c>
      <c r="D36" s="443">
        <f>margins!BC30-margins!BD30</f>
        <v>107.432</v>
      </c>
      <c r="E36" s="1546"/>
      <c r="F36" s="395" t="s">
        <v>106</v>
      </c>
      <c r="G36" s="396"/>
      <c r="H36" s="439"/>
      <c r="I36" s="771"/>
      <c r="J36" s="417"/>
      <c r="M36" s="417"/>
    </row>
    <row r="37" spans="1:22">
      <c r="A37" s="443">
        <f>margins!$AZ31</f>
        <v>9.25</v>
      </c>
      <c r="B37" s="443">
        <f>margins!BA31-margins!BD31</f>
        <v>107.782</v>
      </c>
      <c r="C37" s="443">
        <f>margins!BB31-margins!BD31</f>
        <v>107.682</v>
      </c>
      <c r="D37" s="443">
        <f>margins!BC31-margins!BD31</f>
        <v>107.682</v>
      </c>
      <c r="E37" s="1546"/>
      <c r="F37" s="800" t="s">
        <v>107</v>
      </c>
      <c r="G37" s="801">
        <v>-0.25</v>
      </c>
      <c r="H37" s="439"/>
      <c r="I37" s="771"/>
      <c r="J37" s="417"/>
      <c r="M37" s="417"/>
    </row>
    <row r="38" spans="1:22" ht="15.75" thickBot="1">
      <c r="F38" s="75" t="s">
        <v>108</v>
      </c>
      <c r="G38" s="739">
        <v>-0.375</v>
      </c>
      <c r="H38" s="439"/>
      <c r="I38" s="772"/>
      <c r="M38" s="417"/>
    </row>
    <row r="39" spans="1:22">
      <c r="F39" s="439"/>
      <c r="G39" s="771"/>
      <c r="H39" s="439"/>
      <c r="I39" s="771"/>
    </row>
    <row r="40" spans="1:22">
      <c r="A40" s="3" t="s">
        <v>425</v>
      </c>
      <c r="B40" s="3"/>
      <c r="C40" s="1"/>
      <c r="D40" s="1"/>
      <c r="E40" s="1"/>
      <c r="F40" s="20"/>
      <c r="G40" s="1"/>
      <c r="H40" s="21"/>
      <c r="I40" s="20"/>
      <c r="J40" s="416"/>
    </row>
    <row r="41" spans="1:22">
      <c r="A41" s="740"/>
      <c r="B41" s="415" t="s">
        <v>191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7" t="s">
        <v>19</v>
      </c>
      <c r="H41" s="55"/>
    </row>
    <row r="42" spans="1:22">
      <c r="A42" s="741"/>
      <c r="B42" s="408" t="s">
        <v>111</v>
      </c>
      <c r="C42" s="452">
        <v>1.5</v>
      </c>
      <c r="D42" s="450">
        <v>1.3749999999999998</v>
      </c>
      <c r="E42" s="450">
        <v>1.25</v>
      </c>
      <c r="F42" s="450">
        <v>0.875</v>
      </c>
      <c r="G42" s="451">
        <v>0.25</v>
      </c>
      <c r="H42" s="55"/>
      <c r="Q42" s="64"/>
      <c r="R42" s="64"/>
      <c r="S42" s="64"/>
      <c r="T42" s="64"/>
      <c r="U42" s="64"/>
      <c r="V42" s="64"/>
    </row>
    <row r="43" spans="1:22">
      <c r="A43" s="741"/>
      <c r="B43" s="408" t="s">
        <v>24</v>
      </c>
      <c r="C43" s="453">
        <v>1.5</v>
      </c>
      <c r="D43" s="95">
        <v>1.3749999999999998</v>
      </c>
      <c r="E43" s="95">
        <v>1.125</v>
      </c>
      <c r="F43" s="95">
        <v>0.75</v>
      </c>
      <c r="G43" s="449">
        <v>0</v>
      </c>
      <c r="H43" s="55"/>
      <c r="Q43" s="64"/>
      <c r="R43" s="64"/>
      <c r="S43" s="64"/>
      <c r="T43" s="64"/>
      <c r="U43" s="64"/>
      <c r="V43" s="64"/>
    </row>
    <row r="44" spans="1:22">
      <c r="A44" s="741"/>
      <c r="B44" s="408" t="s">
        <v>25</v>
      </c>
      <c r="C44" s="454">
        <v>1.25</v>
      </c>
      <c r="D44" s="94">
        <v>1.1249999999999998</v>
      </c>
      <c r="E44" s="94">
        <v>0.875</v>
      </c>
      <c r="F44" s="94">
        <v>0.5</v>
      </c>
      <c r="G44" s="448">
        <v>-0.25</v>
      </c>
      <c r="H44" s="55"/>
      <c r="Q44" s="64"/>
      <c r="R44" s="64"/>
      <c r="S44" s="64"/>
      <c r="T44" s="64"/>
      <c r="U44" s="64"/>
      <c r="V44" s="64"/>
    </row>
    <row r="45" spans="1:22">
      <c r="A45" s="117" t="s">
        <v>109</v>
      </c>
      <c r="B45" s="408" t="s">
        <v>26</v>
      </c>
      <c r="C45" s="453">
        <v>0.87499999999999989</v>
      </c>
      <c r="D45" s="95">
        <v>0.75</v>
      </c>
      <c r="E45" s="95">
        <v>0.37499999999999978</v>
      </c>
      <c r="F45" s="95">
        <v>-0.125</v>
      </c>
      <c r="G45" s="449">
        <v>-1</v>
      </c>
      <c r="H45" s="55"/>
      <c r="Q45" s="64"/>
      <c r="R45" s="64"/>
      <c r="S45" s="64"/>
      <c r="T45" s="64"/>
      <c r="U45" s="64"/>
      <c r="V45" s="64"/>
    </row>
    <row r="46" spans="1:22">
      <c r="A46" s="117" t="s">
        <v>440</v>
      </c>
      <c r="B46" s="408" t="s">
        <v>27</v>
      </c>
      <c r="C46" s="454">
        <v>0.49999999999999989</v>
      </c>
      <c r="D46" s="94">
        <v>0.12499999999999989</v>
      </c>
      <c r="E46" s="94">
        <v>-0.12500000000000011</v>
      </c>
      <c r="F46" s="94">
        <v>-0.625</v>
      </c>
      <c r="G46" s="448" t="s">
        <v>14</v>
      </c>
      <c r="H46" s="55"/>
      <c r="Q46" s="64"/>
      <c r="R46" s="64"/>
      <c r="S46" s="64"/>
      <c r="T46" s="64"/>
      <c r="U46" s="64"/>
      <c r="V46" s="64"/>
    </row>
    <row r="47" spans="1:22">
      <c r="A47" s="742"/>
      <c r="B47" s="409" t="s">
        <v>28</v>
      </c>
      <c r="C47" s="651">
        <v>0</v>
      </c>
      <c r="D47" s="446">
        <v>-0.375</v>
      </c>
      <c r="E47" s="446">
        <v>-0.875</v>
      </c>
      <c r="F47" s="446">
        <v>-1.625</v>
      </c>
      <c r="G47" s="447" t="s">
        <v>14</v>
      </c>
      <c r="H47" s="55"/>
      <c r="Q47" s="64"/>
      <c r="R47" s="64"/>
      <c r="S47" s="64"/>
      <c r="T47" s="64"/>
      <c r="U47" s="64"/>
      <c r="V47" s="64"/>
    </row>
    <row r="48" spans="1:22">
      <c r="A48" s="410"/>
      <c r="B48" s="416" t="s">
        <v>191</v>
      </c>
    </row>
    <row r="49" spans="1:8">
      <c r="A49" s="3" t="s">
        <v>116</v>
      </c>
      <c r="H49" s="769"/>
    </row>
    <row r="50" spans="1:8">
      <c r="A50" s="61"/>
      <c r="B50" s="26" t="s">
        <v>298</v>
      </c>
      <c r="C50" s="406" t="s">
        <v>15</v>
      </c>
      <c r="D50" s="406" t="s">
        <v>16</v>
      </c>
      <c r="E50" s="406" t="s">
        <v>17</v>
      </c>
      <c r="F50" s="406" t="s">
        <v>18</v>
      </c>
      <c r="G50" s="407" t="s">
        <v>19</v>
      </c>
      <c r="H50" s="55"/>
    </row>
    <row r="51" spans="1:8">
      <c r="A51" s="2015" t="s">
        <v>71</v>
      </c>
      <c r="B51" s="1513" t="s">
        <v>72</v>
      </c>
      <c r="C51" s="1511">
        <v>-0.25</v>
      </c>
      <c r="D51" s="1511">
        <v>-0.25</v>
      </c>
      <c r="E51" s="1511">
        <v>-0.25</v>
      </c>
      <c r="F51" s="1511">
        <v>-0.25</v>
      </c>
      <c r="G51" s="1512">
        <v>-0.25</v>
      </c>
      <c r="H51" s="55"/>
    </row>
    <row r="52" spans="1:8">
      <c r="A52" s="2016"/>
      <c r="B52" s="1514" t="s">
        <v>728</v>
      </c>
      <c r="C52" s="446">
        <v>-0.25</v>
      </c>
      <c r="D52" s="446">
        <v>-0.25</v>
      </c>
      <c r="E52" s="446">
        <v>-0.25</v>
      </c>
      <c r="F52" s="446">
        <v>-0.25</v>
      </c>
      <c r="G52" s="447">
        <v>-0.25</v>
      </c>
      <c r="H52" s="55"/>
    </row>
    <row r="53" spans="1:8" ht="17.25" customHeight="1">
      <c r="A53" s="812" t="s">
        <v>157</v>
      </c>
      <c r="B53" s="1515" t="s">
        <v>76</v>
      </c>
      <c r="C53" s="1509">
        <v>0</v>
      </c>
      <c r="D53" s="1509">
        <v>0</v>
      </c>
      <c r="E53" s="1509">
        <v>0</v>
      </c>
      <c r="F53" s="1509">
        <v>0</v>
      </c>
      <c r="G53" s="1510">
        <v>0</v>
      </c>
      <c r="H53" s="55"/>
    </row>
    <row r="54" spans="1:8">
      <c r="A54" s="743"/>
      <c r="B54" s="1516" t="s">
        <v>443</v>
      </c>
      <c r="C54" s="99">
        <v>0</v>
      </c>
      <c r="D54" s="99">
        <v>0</v>
      </c>
      <c r="E54" s="99">
        <v>0</v>
      </c>
      <c r="F54" s="99">
        <v>0</v>
      </c>
      <c r="G54" s="730">
        <v>0</v>
      </c>
      <c r="H54" s="55"/>
    </row>
    <row r="55" spans="1:8">
      <c r="A55" s="743"/>
      <c r="B55" s="1517" t="s">
        <v>127</v>
      </c>
      <c r="C55" s="99">
        <v>0</v>
      </c>
      <c r="D55" s="99">
        <v>0</v>
      </c>
      <c r="E55" s="99">
        <v>0</v>
      </c>
      <c r="F55" s="99">
        <v>0</v>
      </c>
      <c r="G55" s="730">
        <v>0</v>
      </c>
      <c r="H55" s="55"/>
    </row>
    <row r="56" spans="1:8">
      <c r="A56" s="736" t="s">
        <v>47</v>
      </c>
      <c r="B56" s="1517" t="s">
        <v>128</v>
      </c>
      <c r="C56" s="99">
        <v>0</v>
      </c>
      <c r="D56" s="99">
        <v>0</v>
      </c>
      <c r="E56" s="99">
        <v>0</v>
      </c>
      <c r="F56" s="99">
        <v>0</v>
      </c>
      <c r="G56" s="730">
        <v>0</v>
      </c>
      <c r="H56" s="55"/>
    </row>
    <row r="57" spans="1:8">
      <c r="A57" s="743"/>
      <c r="B57" s="1517" t="s">
        <v>129</v>
      </c>
      <c r="C57" s="99">
        <v>0</v>
      </c>
      <c r="D57" s="99">
        <v>0</v>
      </c>
      <c r="E57" s="99">
        <v>0</v>
      </c>
      <c r="F57" s="99">
        <v>0</v>
      </c>
      <c r="G57" s="730">
        <v>0</v>
      </c>
      <c r="H57" s="55"/>
    </row>
    <row r="58" spans="1:8">
      <c r="A58" s="743"/>
      <c r="B58" s="1517" t="s">
        <v>130</v>
      </c>
      <c r="C58" s="99">
        <v>0</v>
      </c>
      <c r="D58" s="99">
        <v>0</v>
      </c>
      <c r="E58" s="99">
        <v>0</v>
      </c>
      <c r="F58" s="99">
        <v>0</v>
      </c>
      <c r="G58" s="730">
        <v>0</v>
      </c>
      <c r="H58" s="55"/>
    </row>
    <row r="59" spans="1:8">
      <c r="A59" s="743"/>
      <c r="B59" s="1518" t="s">
        <v>131</v>
      </c>
      <c r="C59" s="101">
        <v>0</v>
      </c>
      <c r="D59" s="101">
        <v>0</v>
      </c>
      <c r="E59" s="101">
        <v>0</v>
      </c>
      <c r="F59" s="101">
        <v>0</v>
      </c>
      <c r="G59" s="731">
        <v>0</v>
      </c>
      <c r="H59" s="55"/>
    </row>
    <row r="60" spans="1:8">
      <c r="A60" s="809" t="s">
        <v>56</v>
      </c>
      <c r="B60" s="1519" t="s">
        <v>467</v>
      </c>
      <c r="C60" s="810">
        <v>-0.375</v>
      </c>
      <c r="D60" s="810">
        <v>-0.375</v>
      </c>
      <c r="E60" s="810">
        <v>-0.375</v>
      </c>
      <c r="F60" s="810">
        <v>-0.5</v>
      </c>
      <c r="G60" s="811" t="s">
        <v>14</v>
      </c>
      <c r="H60" s="55"/>
    </row>
    <row r="61" spans="1:8">
      <c r="A61" s="808" t="s">
        <v>65</v>
      </c>
      <c r="B61" s="1516" t="s">
        <v>136</v>
      </c>
      <c r="C61" s="99">
        <v>-0.5</v>
      </c>
      <c r="D61" s="99">
        <v>-0.5</v>
      </c>
      <c r="E61" s="99">
        <v>-0.5</v>
      </c>
      <c r="F61" s="99">
        <v>-0.5</v>
      </c>
      <c r="G61" s="730">
        <v>-0.625</v>
      </c>
      <c r="H61" s="55"/>
    </row>
    <row r="62" spans="1:8">
      <c r="A62" s="411"/>
      <c r="B62" s="1520" t="s">
        <v>95</v>
      </c>
      <c r="C62" s="103">
        <v>1</v>
      </c>
      <c r="D62" s="103">
        <v>1</v>
      </c>
      <c r="E62" s="103">
        <v>1</v>
      </c>
      <c r="F62" s="103">
        <v>1</v>
      </c>
      <c r="G62" s="733">
        <v>1.125</v>
      </c>
      <c r="H62" s="55"/>
    </row>
    <row r="63" spans="1:8">
      <c r="A63" s="412" t="s">
        <v>137</v>
      </c>
      <c r="B63" s="1516" t="s">
        <v>96</v>
      </c>
      <c r="C63" s="99">
        <v>0.75</v>
      </c>
      <c r="D63" s="99">
        <v>0.75</v>
      </c>
      <c r="E63" s="99">
        <v>0.75</v>
      </c>
      <c r="F63" s="99">
        <v>0.75</v>
      </c>
      <c r="G63" s="730">
        <v>0.875</v>
      </c>
      <c r="H63" s="55"/>
    </row>
    <row r="64" spans="1:8">
      <c r="A64" s="411" t="s">
        <v>138</v>
      </c>
      <c r="B64" s="1516" t="s">
        <v>7</v>
      </c>
      <c r="C64" s="99">
        <v>0.25</v>
      </c>
      <c r="D64" s="99">
        <v>0.25</v>
      </c>
      <c r="E64" s="99">
        <v>0.25</v>
      </c>
      <c r="F64" s="99">
        <v>0.25</v>
      </c>
      <c r="G64" s="730">
        <v>0.25</v>
      </c>
      <c r="H64" s="55"/>
    </row>
    <row r="65" spans="1:8">
      <c r="A65" s="411" t="s">
        <v>442</v>
      </c>
      <c r="B65" s="1516" t="s">
        <v>9</v>
      </c>
      <c r="C65" s="99">
        <v>-0.375</v>
      </c>
      <c r="D65" s="99">
        <v>-0.375</v>
      </c>
      <c r="E65" s="99">
        <v>-0.375</v>
      </c>
      <c r="F65" s="99">
        <v>-0.375</v>
      </c>
      <c r="G65" s="730">
        <v>-0.5</v>
      </c>
      <c r="H65" s="55"/>
    </row>
    <row r="66" spans="1:8">
      <c r="A66" s="411"/>
      <c r="B66" s="1516" t="s">
        <v>11</v>
      </c>
      <c r="C66" s="99">
        <v>-1.125</v>
      </c>
      <c r="D66" s="99">
        <v>-1.125</v>
      </c>
      <c r="E66" s="99">
        <v>-1.375</v>
      </c>
      <c r="F66" s="99">
        <v>-1.375</v>
      </c>
      <c r="G66" s="730">
        <v>-1.6250000000000002</v>
      </c>
      <c r="H66" s="55"/>
    </row>
    <row r="67" spans="1:8">
      <c r="A67" s="434"/>
      <c r="B67" s="1521" t="s">
        <v>97</v>
      </c>
      <c r="C67" s="101">
        <v>-1.7500000000000002</v>
      </c>
      <c r="D67" s="101">
        <v>-1.7500000000000002</v>
      </c>
      <c r="E67" s="101">
        <v>-2</v>
      </c>
      <c r="F67" s="101">
        <v>-2</v>
      </c>
      <c r="G67" s="731">
        <v>-2.25</v>
      </c>
      <c r="H67" s="55"/>
    </row>
    <row r="68" spans="1:8">
      <c r="A68" s="1787" t="s">
        <v>441</v>
      </c>
      <c r="B68" s="734" t="s">
        <v>183</v>
      </c>
      <c r="C68" s="99">
        <v>0.75</v>
      </c>
      <c r="D68" s="99">
        <v>0.75</v>
      </c>
      <c r="E68" s="99">
        <v>0.75</v>
      </c>
      <c r="F68" s="99">
        <v>0.75</v>
      </c>
      <c r="G68" s="730">
        <v>0.875</v>
      </c>
      <c r="H68" s="55"/>
    </row>
    <row r="69" spans="1:8">
      <c r="A69" s="1788"/>
      <c r="B69" s="734" t="s">
        <v>184</v>
      </c>
      <c r="C69" s="99">
        <v>0.5</v>
      </c>
      <c r="D69" s="99">
        <v>0.5</v>
      </c>
      <c r="E69" s="99">
        <v>0.5</v>
      </c>
      <c r="F69" s="99">
        <v>0.5</v>
      </c>
      <c r="G69" s="730">
        <v>0.625</v>
      </c>
      <c r="H69" s="55"/>
    </row>
    <row r="70" spans="1:8">
      <c r="A70" s="1788"/>
      <c r="B70" s="734" t="s">
        <v>185</v>
      </c>
      <c r="C70" s="99">
        <v>0</v>
      </c>
      <c r="D70" s="99">
        <v>0</v>
      </c>
      <c r="E70" s="99">
        <v>0</v>
      </c>
      <c r="F70" s="99">
        <v>0</v>
      </c>
      <c r="G70" s="730">
        <v>0</v>
      </c>
      <c r="H70" s="55"/>
    </row>
    <row r="71" spans="1:8">
      <c r="A71" s="1789"/>
      <c r="B71" s="735" t="s">
        <v>186</v>
      </c>
      <c r="C71" s="101">
        <v>-0.375</v>
      </c>
      <c r="D71" s="101">
        <v>-0.375</v>
      </c>
      <c r="E71" s="101">
        <v>-0.375</v>
      </c>
      <c r="F71" s="101">
        <v>-0.375</v>
      </c>
      <c r="G71" s="731">
        <v>-0.5</v>
      </c>
      <c r="H71" s="55"/>
    </row>
    <row r="72" spans="1:8">
      <c r="A72" s="445" t="s">
        <v>68</v>
      </c>
      <c r="B72" s="732" t="s">
        <v>69</v>
      </c>
      <c r="C72" s="103" t="s">
        <v>14</v>
      </c>
      <c r="D72" s="103" t="s">
        <v>14</v>
      </c>
      <c r="E72" s="103" t="s">
        <v>14</v>
      </c>
      <c r="F72" s="103" t="s">
        <v>14</v>
      </c>
      <c r="G72" s="733" t="s">
        <v>14</v>
      </c>
      <c r="H72" s="55"/>
    </row>
    <row r="73" spans="1:8">
      <c r="A73" s="444"/>
      <c r="B73" s="63" t="s">
        <v>161</v>
      </c>
      <c r="C73" s="101">
        <v>-0.25</v>
      </c>
      <c r="D73" s="101">
        <v>-0.25</v>
      </c>
      <c r="E73" s="101">
        <v>-0.25</v>
      </c>
      <c r="F73" s="101">
        <v>-0.25</v>
      </c>
      <c r="G73" s="731">
        <v>-0.25</v>
      </c>
    </row>
    <row r="74" spans="1:8">
      <c r="A74" s="1484" t="s">
        <v>308</v>
      </c>
      <c r="B74" s="1485" t="s">
        <v>139</v>
      </c>
      <c r="C74" s="810" t="s">
        <v>14</v>
      </c>
      <c r="D74" s="810" t="s">
        <v>14</v>
      </c>
      <c r="E74" s="810" t="s">
        <v>14</v>
      </c>
      <c r="F74" s="810" t="s">
        <v>14</v>
      </c>
      <c r="G74" s="811" t="s">
        <v>14</v>
      </c>
    </row>
    <row r="75" spans="1:8">
      <c r="A75" s="1482"/>
      <c r="B75" s="1483"/>
      <c r="C75" s="805"/>
      <c r="D75" s="805"/>
      <c r="E75" s="805"/>
      <c r="F75" s="805"/>
      <c r="G75" s="805"/>
    </row>
  </sheetData>
  <mergeCells count="10">
    <mergeCell ref="A68:A71"/>
    <mergeCell ref="C2:I2"/>
    <mergeCell ref="B7:D7"/>
    <mergeCell ref="A51:A52"/>
    <mergeCell ref="F17:H18"/>
    <mergeCell ref="F23:H24"/>
    <mergeCell ref="F25:H26"/>
    <mergeCell ref="F27:H28"/>
    <mergeCell ref="F19:H20"/>
    <mergeCell ref="F21:H2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69E6B21A-DEE7-4D9C-AD9F-01C33CB70DA3}">
          <x14:formula1>
            <xm:f>margins!$AO$128:$AO$130</xm:f>
          </x14:formula1>
          <xm:sqref>L15</xm:sqref>
        </x14:dataValidation>
        <x14:dataValidation type="list" allowBlank="1" showInputMessage="1" showErrorMessage="1" xr:uid="{3DD19262-BEAA-411E-855C-6461FB1C4FC8}">
          <x14:formula1>
            <xm:f>margins!$AO$172:$AO$173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margins!$AO$136:$AO$142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margins!$AO$175:$AO$177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margins!$AO$160:$AO$164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margins!$AO$145:$AO$147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23.85546875" style="936" customWidth="1"/>
    <col min="3" max="3" width="9.140625" style="936" bestFit="1" customWidth="1"/>
    <col min="4" max="4" width="13.7109375" style="936" customWidth="1"/>
    <col min="5" max="5" width="13.85546875" style="936" customWidth="1"/>
    <col min="6" max="6" width="13.7109375" style="936" customWidth="1"/>
    <col min="7" max="7" width="16.42578125" style="936" bestFit="1" customWidth="1"/>
    <col min="8" max="8" width="19.42578125" style="936" customWidth="1"/>
    <col min="9" max="9" width="13.7109375" style="936" customWidth="1"/>
    <col min="10" max="10" width="16.5703125" style="936" customWidth="1"/>
    <col min="11" max="11" width="16.42578125" style="936" customWidth="1"/>
    <col min="12" max="12" width="13.7109375" style="936" customWidth="1"/>
    <col min="13" max="13" width="5" style="936" customWidth="1"/>
    <col min="14" max="14" width="9.140625" style="935"/>
    <col min="15" max="15" width="19.85546875" style="935" customWidth="1"/>
    <col min="16" max="16" width="20" style="935" customWidth="1"/>
    <col min="17" max="17" width="17.42578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171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>
      <c r="A10" s="1748" t="s">
        <v>430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715" t="s">
        <v>435</v>
      </c>
      <c r="P10" s="1716"/>
      <c r="Q10" s="1716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418"/>
      <c r="P11" s="418"/>
      <c r="Q11" s="418"/>
    </row>
    <row r="12" spans="1:17" s="936" customFormat="1" ht="15.75" thickBot="1">
      <c r="A12" s="1144"/>
      <c r="B12" s="1142"/>
      <c r="C12" s="1736" t="s">
        <v>438</v>
      </c>
      <c r="D12" s="1737"/>
      <c r="E12" s="1738"/>
      <c r="F12" s="1143"/>
      <c r="G12" s="1142"/>
      <c r="H12" s="1142"/>
      <c r="I12" s="1142"/>
      <c r="J12" s="1142"/>
      <c r="K12" s="1142"/>
      <c r="L12" s="1142"/>
      <c r="M12" s="1165"/>
      <c r="O12" s="1112" t="s">
        <v>195</v>
      </c>
      <c r="P12" s="1112" t="s">
        <v>196</v>
      </c>
      <c r="Q12" s="1112" t="s">
        <v>197</v>
      </c>
    </row>
    <row r="13" spans="1:17" s="936" customFormat="1" ht="15.75" thickBot="1">
      <c r="A13" s="1129"/>
      <c r="B13" s="1275" t="s">
        <v>211</v>
      </c>
      <c r="C13" s="1300" t="s">
        <v>13</v>
      </c>
      <c r="D13" s="1275" t="s">
        <v>87</v>
      </c>
      <c r="E13" s="1320" t="s">
        <v>600</v>
      </c>
      <c r="G13" s="1081" t="s">
        <v>599</v>
      </c>
      <c r="H13" s="1080"/>
      <c r="I13" s="941"/>
      <c r="J13" s="1081" t="s">
        <v>106</v>
      </c>
      <c r="K13" s="1"/>
      <c r="L13" s="1"/>
      <c r="M13" s="940"/>
      <c r="O13" s="418"/>
      <c r="P13" s="418"/>
      <c r="Q13" s="418"/>
    </row>
    <row r="14" spans="1:17" s="936" customFormat="1">
      <c r="A14" s="1129"/>
      <c r="B14" s="1318">
        <f>margins!$AZ3</f>
        <v>5.75</v>
      </c>
      <c r="C14" s="1321">
        <f>margins!BA3-margins!BD3</f>
        <v>93.72</v>
      </c>
      <c r="D14" s="1319">
        <f>margins!BB3-margins!BD3</f>
        <v>93.62</v>
      </c>
      <c r="E14" s="1323">
        <f>margins!BC3-margins!BD3</f>
        <v>93.62</v>
      </c>
      <c r="G14" s="1112" t="s">
        <v>94</v>
      </c>
      <c r="H14" s="1306" t="s">
        <v>6</v>
      </c>
      <c r="I14" s="941"/>
      <c r="J14" s="1359" t="s">
        <v>597</v>
      </c>
      <c r="K14" s="1135">
        <v>-0.25</v>
      </c>
      <c r="M14" s="940"/>
      <c r="O14" s="427" t="s">
        <v>198</v>
      </c>
      <c r="P14" s="431" t="s">
        <v>192</v>
      </c>
      <c r="Q14" s="435"/>
    </row>
    <row r="15" spans="1:17" s="936" customFormat="1" ht="15.75" thickBot="1">
      <c r="A15" s="1129"/>
      <c r="B15" s="1318">
        <f>margins!$AZ4</f>
        <v>5.875</v>
      </c>
      <c r="C15" s="1321">
        <f>margins!BA4-margins!BD4</f>
        <v>94.72</v>
      </c>
      <c r="D15" s="1319">
        <f>margins!BB4-margins!BD4</f>
        <v>94.62</v>
      </c>
      <c r="E15" s="1323">
        <f>margins!BC4-margins!BD4</f>
        <v>94.62</v>
      </c>
      <c r="F15" s="1365" t="s">
        <v>183</v>
      </c>
      <c r="G15" s="1298" t="s">
        <v>95</v>
      </c>
      <c r="H15" s="1134">
        <v>101</v>
      </c>
      <c r="I15" s="941"/>
      <c r="J15" s="1360" t="s">
        <v>596</v>
      </c>
      <c r="K15" s="1137">
        <v>-0.375</v>
      </c>
      <c r="M15" s="940"/>
      <c r="O15" s="428" t="s">
        <v>199</v>
      </c>
      <c r="P15" s="432">
        <v>7.875</v>
      </c>
      <c r="Q15" s="436">
        <f>IF(P14="7/6 Arm",VLOOKUP(P15,$B$14:$E$42,2,FALSE),IF(P14="10/6 Arm",VLOOKUP(P15,$B$14:$E$42,3,FALSE),VLOOKUP(P15,$B$14:$E$42,4,FALSE)))</f>
        <v>104.34400000000001</v>
      </c>
    </row>
    <row r="16" spans="1:17" s="936" customFormat="1">
      <c r="A16" s="1129"/>
      <c r="B16" s="1318">
        <f>margins!$AZ5</f>
        <v>6</v>
      </c>
      <c r="C16" s="1321">
        <f>margins!BA5-margins!BD5</f>
        <v>95.594999999999999</v>
      </c>
      <c r="D16" s="1319">
        <f>margins!BB5-margins!BD5</f>
        <v>95.495000000000005</v>
      </c>
      <c r="E16" s="1323">
        <f>margins!BC5-margins!BD5</f>
        <v>95.495000000000005</v>
      </c>
      <c r="F16" s="1365" t="s">
        <v>184</v>
      </c>
      <c r="G16" s="1298" t="s">
        <v>96</v>
      </c>
      <c r="H16" s="1134">
        <v>101</v>
      </c>
      <c r="I16" s="941"/>
      <c r="M16" s="940"/>
      <c r="O16" s="428" t="s">
        <v>353</v>
      </c>
      <c r="P16" s="432" t="s">
        <v>18</v>
      </c>
      <c r="Q16" s="436"/>
    </row>
    <row r="17" spans="1:17" s="936" customFormat="1">
      <c r="A17" s="1129"/>
      <c r="B17" s="1318">
        <f>margins!$AZ6</f>
        <v>6.125</v>
      </c>
      <c r="C17" s="1321">
        <f>margins!BA6-margins!BD6</f>
        <v>96.313000000000002</v>
      </c>
      <c r="D17" s="1319">
        <f>margins!BB6-margins!BD6</f>
        <v>96.213000000000008</v>
      </c>
      <c r="E17" s="1323">
        <f>margins!BC6-margins!BD6</f>
        <v>96.213000000000008</v>
      </c>
      <c r="F17" s="1365" t="s">
        <v>185</v>
      </c>
      <c r="G17" s="1298" t="s">
        <v>7</v>
      </c>
      <c r="H17" s="1134">
        <v>101</v>
      </c>
      <c r="I17" s="941"/>
      <c r="M17" s="949"/>
      <c r="O17" s="428" t="s">
        <v>200</v>
      </c>
      <c r="P17" s="432" t="s">
        <v>28</v>
      </c>
      <c r="Q17" s="436">
        <f>IFERROR(INDEX($E$47:$I$52,MATCH(P17,C47:C52,0),MATCH(P16,E46:I46,0),1),0)</f>
        <v>0</v>
      </c>
    </row>
    <row r="18" spans="1:17" s="936" customFormat="1" ht="15" customHeight="1" thickBot="1">
      <c r="A18" s="1129"/>
      <c r="B18" s="1318">
        <f>margins!$AZ7</f>
        <v>6.25</v>
      </c>
      <c r="C18" s="1321">
        <f>margins!BA7-margins!BD7</f>
        <v>97</v>
      </c>
      <c r="D18" s="1319">
        <f>margins!BB7-margins!BD7</f>
        <v>96.9</v>
      </c>
      <c r="E18" s="1323">
        <f>margins!BC7-margins!BD7</f>
        <v>96.9</v>
      </c>
      <c r="F18" s="1365" t="s">
        <v>186</v>
      </c>
      <c r="G18" s="1298" t="s">
        <v>9</v>
      </c>
      <c r="H18" s="1134">
        <v>101</v>
      </c>
      <c r="I18" s="941"/>
      <c r="J18" s="1081" t="s">
        <v>594</v>
      </c>
      <c r="K18" s="1080"/>
      <c r="L18" s="1080"/>
      <c r="M18" s="940"/>
      <c r="O18" s="428" t="s">
        <v>71</v>
      </c>
      <c r="P18" s="432" t="s">
        <v>191</v>
      </c>
      <c r="Q18" s="436">
        <f t="shared" ref="Q18:Q27" si="0">IFERROR(INDEX($E$56:$I$78,MATCH(P18,$C$56:$C$78,0),MATCH($P$16,$E$55:$I$55,0),1),0)</f>
        <v>0</v>
      </c>
    </row>
    <row r="19" spans="1:17" s="936" customFormat="1">
      <c r="A19" s="1129"/>
      <c r="B19" s="1318">
        <f>margins!$AZ8</f>
        <v>6.375</v>
      </c>
      <c r="C19" s="1321">
        <f>margins!BA8-margins!BD8</f>
        <v>97.688000000000002</v>
      </c>
      <c r="D19" s="1319">
        <f>margins!BB8-margins!BD8</f>
        <v>97.588000000000008</v>
      </c>
      <c r="E19" s="1323">
        <f>margins!BC8-margins!BD8</f>
        <v>97.588000000000008</v>
      </c>
      <c r="G19" s="1298" t="s">
        <v>11</v>
      </c>
      <c r="H19" s="1134">
        <v>100</v>
      </c>
      <c r="I19" s="941"/>
      <c r="J19" s="1825" t="s">
        <v>141</v>
      </c>
      <c r="K19" s="1826"/>
      <c r="L19" s="1827"/>
      <c r="M19" s="940"/>
      <c r="O19" s="428" t="s">
        <v>201</v>
      </c>
      <c r="P19" s="432" t="s">
        <v>191</v>
      </c>
      <c r="Q19" s="436">
        <f t="shared" si="0"/>
        <v>0</v>
      </c>
    </row>
    <row r="20" spans="1:17" s="936" customFormat="1" ht="15.75" thickBot="1">
      <c r="A20" s="1129"/>
      <c r="B20" s="1318">
        <f>margins!$AZ9</f>
        <v>6.5</v>
      </c>
      <c r="C20" s="1321">
        <f>margins!BA9-margins!BD9</f>
        <v>98.375</v>
      </c>
      <c r="D20" s="1319">
        <f>margins!BB9-margins!BD9</f>
        <v>98.275000000000006</v>
      </c>
      <c r="E20" s="1323">
        <f>margins!BC9-margins!BD9</f>
        <v>98.275000000000006</v>
      </c>
      <c r="F20" s="941"/>
      <c r="G20" s="1299" t="s">
        <v>97</v>
      </c>
      <c r="H20" s="1133">
        <v>98.5</v>
      </c>
      <c r="I20" s="941"/>
      <c r="J20" s="1828"/>
      <c r="K20" s="1829"/>
      <c r="L20" s="1830"/>
      <c r="M20" s="940"/>
      <c r="O20" s="428" t="s">
        <v>47</v>
      </c>
      <c r="P20" s="432" t="s">
        <v>427</v>
      </c>
      <c r="Q20" s="436">
        <f t="shared" si="0"/>
        <v>0</v>
      </c>
    </row>
    <row r="21" spans="1:17" s="936" customFormat="1">
      <c r="A21" s="1129"/>
      <c r="B21" s="1318">
        <f>margins!$AZ10</f>
        <v>6.625</v>
      </c>
      <c r="C21" s="1321">
        <f>margins!BA10-margins!BD10</f>
        <v>99</v>
      </c>
      <c r="D21" s="1319">
        <f>margins!BB10-margins!BD10</f>
        <v>98.9</v>
      </c>
      <c r="E21" s="1323">
        <f>margins!BC10-margins!BD10</f>
        <v>98.9</v>
      </c>
      <c r="F21" s="941"/>
      <c r="G21" s="1130"/>
      <c r="H21" s="1084"/>
      <c r="I21" s="941"/>
      <c r="J21" s="1828" t="s">
        <v>687</v>
      </c>
      <c r="K21" s="1829"/>
      <c r="L21" s="1830"/>
      <c r="M21" s="940"/>
      <c r="O21" s="428" t="s">
        <v>56</v>
      </c>
      <c r="P21" s="432" t="s">
        <v>191</v>
      </c>
      <c r="Q21" s="436">
        <f t="shared" si="0"/>
        <v>0</v>
      </c>
    </row>
    <row r="22" spans="1:17" s="936" customFormat="1">
      <c r="A22" s="1129"/>
      <c r="B22" s="1318">
        <f>margins!$AZ11</f>
        <v>6.75</v>
      </c>
      <c r="C22" s="1321">
        <f>margins!BA11-margins!BD11</f>
        <v>99.625</v>
      </c>
      <c r="D22" s="1319">
        <f>margins!BB11-margins!BD11</f>
        <v>99.525000000000006</v>
      </c>
      <c r="E22" s="1323">
        <f>margins!BC11-margins!BD11</f>
        <v>99.525000000000006</v>
      </c>
      <c r="F22" s="1128"/>
      <c r="G22" s="1080"/>
      <c r="I22" s="1081"/>
      <c r="J22" s="1828"/>
      <c r="K22" s="1829"/>
      <c r="L22" s="1830"/>
      <c r="M22" s="940"/>
      <c r="O22" s="428" t="s">
        <v>136</v>
      </c>
      <c r="P22" s="432" t="s">
        <v>191</v>
      </c>
      <c r="Q22" s="436">
        <f t="shared" si="0"/>
        <v>0</v>
      </c>
    </row>
    <row r="23" spans="1:17" s="936" customFormat="1" ht="15.75" thickBot="1">
      <c r="A23" s="1082"/>
      <c r="B23" s="1318">
        <f>margins!$AZ12</f>
        <v>6.875</v>
      </c>
      <c r="C23" s="1321">
        <f>margins!BA12-margins!BD12</f>
        <v>100.25</v>
      </c>
      <c r="D23" s="1319">
        <f>margins!BB12-margins!BD12</f>
        <v>100.15</v>
      </c>
      <c r="E23" s="1323">
        <f>margins!BC12-margins!BD12</f>
        <v>100.15</v>
      </c>
      <c r="F23" s="1128"/>
      <c r="G23" s="1081" t="s">
        <v>595</v>
      </c>
      <c r="H23" s="941"/>
      <c r="I23"/>
      <c r="J23" s="1828" t="s">
        <v>688</v>
      </c>
      <c r="K23" s="1829"/>
      <c r="L23" s="1830"/>
      <c r="M23" s="1311"/>
      <c r="O23" s="428" t="s">
        <v>203</v>
      </c>
      <c r="P23" s="432" t="s">
        <v>191</v>
      </c>
      <c r="Q23" s="436">
        <f t="shared" si="0"/>
        <v>0</v>
      </c>
    </row>
    <row r="24" spans="1:17" s="936" customFormat="1">
      <c r="A24" s="1082"/>
      <c r="B24" s="1318">
        <f>margins!$AZ13</f>
        <v>7</v>
      </c>
      <c r="C24" s="1321">
        <f>margins!BA13-margins!BD13</f>
        <v>100.875</v>
      </c>
      <c r="D24" s="1319">
        <f>margins!BB13-margins!BD13</f>
        <v>100.77500000000001</v>
      </c>
      <c r="E24" s="1323">
        <f>margins!BC13-margins!BD13</f>
        <v>100.77500000000001</v>
      </c>
      <c r="F24" s="1128"/>
      <c r="G24" s="1127" t="s">
        <v>239</v>
      </c>
      <c r="H24" s="1307" t="s">
        <v>593</v>
      </c>
      <c r="I24"/>
      <c r="J24" s="1828"/>
      <c r="K24" s="1829"/>
      <c r="L24" s="1830"/>
      <c r="M24" s="1316"/>
      <c r="O24" s="428" t="s">
        <v>204</v>
      </c>
      <c r="P24" s="432" t="s">
        <v>191</v>
      </c>
      <c r="Q24" s="436">
        <f t="shared" si="0"/>
        <v>0</v>
      </c>
    </row>
    <row r="25" spans="1:17" s="936" customFormat="1">
      <c r="A25" s="1082"/>
      <c r="B25" s="1318">
        <f>margins!$AZ14</f>
        <v>7.125</v>
      </c>
      <c r="C25" s="1321">
        <f>margins!BA14-margins!BD14</f>
        <v>101.5</v>
      </c>
      <c r="D25" s="1319">
        <f>margins!BB14-margins!BD14</f>
        <v>101.4</v>
      </c>
      <c r="E25" s="1323">
        <f>margins!BC14-margins!BD14</f>
        <v>101.4</v>
      </c>
      <c r="G25" s="1126" t="s">
        <v>210</v>
      </c>
      <c r="H25" s="1303">
        <v>6.5</v>
      </c>
      <c r="I25"/>
      <c r="J25" s="1828" t="s">
        <v>215</v>
      </c>
      <c r="K25" s="1829"/>
      <c r="L25" s="1830"/>
      <c r="M25" s="1316"/>
      <c r="O25" s="428" t="s">
        <v>69</v>
      </c>
      <c r="P25" s="432" t="s">
        <v>191</v>
      </c>
      <c r="Q25" s="436">
        <f t="shared" si="0"/>
        <v>0</v>
      </c>
    </row>
    <row r="26" spans="1:17" s="936" customFormat="1" ht="14.25" customHeight="1" thickBot="1">
      <c r="A26" s="1082"/>
      <c r="B26" s="1318">
        <f>margins!$AZ15</f>
        <v>7.25</v>
      </c>
      <c r="C26" s="1321">
        <f>margins!BA15-margins!BD15</f>
        <v>102.125</v>
      </c>
      <c r="D26" s="1319">
        <f>margins!BB15-margins!BD15</f>
        <v>102.02500000000001</v>
      </c>
      <c r="E26" s="1323">
        <f>margins!BC15-margins!BD15</f>
        <v>102.02500000000001</v>
      </c>
      <c r="G26" s="1126" t="s">
        <v>592</v>
      </c>
      <c r="H26" s="1303" t="s">
        <v>591</v>
      </c>
      <c r="I26"/>
      <c r="J26" s="1831"/>
      <c r="K26" s="1832"/>
      <c r="L26" s="1833"/>
      <c r="M26" s="1316"/>
      <c r="O26" s="428" t="s">
        <v>161</v>
      </c>
      <c r="P26" s="432" t="s">
        <v>191</v>
      </c>
      <c r="Q26" s="436">
        <f t="shared" si="0"/>
        <v>0</v>
      </c>
    </row>
    <row r="27" spans="1:17" s="936" customFormat="1">
      <c r="A27" s="1082"/>
      <c r="B27" s="1318">
        <f>margins!$AZ16</f>
        <v>7.375</v>
      </c>
      <c r="C27" s="1321">
        <f>margins!BA16-margins!BD16</f>
        <v>102.657</v>
      </c>
      <c r="D27" s="1319">
        <f>margins!BB16-margins!BD16</f>
        <v>102.557</v>
      </c>
      <c r="E27" s="1323">
        <f>margins!BC16-margins!BD16</f>
        <v>102.557</v>
      </c>
      <c r="G27" s="1126" t="s">
        <v>590</v>
      </c>
      <c r="H27" s="1304" t="s">
        <v>235</v>
      </c>
      <c r="I27"/>
      <c r="J27"/>
      <c r="K27"/>
      <c r="L27"/>
      <c r="M27" s="1316"/>
      <c r="O27" s="428" t="s">
        <v>139</v>
      </c>
      <c r="P27" s="432" t="s">
        <v>191</v>
      </c>
      <c r="Q27" s="436">
        <f t="shared" si="0"/>
        <v>0</v>
      </c>
    </row>
    <row r="28" spans="1:17" s="936" customFormat="1" ht="14.25" customHeight="1" thickBot="1">
      <c r="A28" s="1082"/>
      <c r="B28" s="1318">
        <f>margins!$AZ17</f>
        <v>7.5</v>
      </c>
      <c r="C28" s="1321">
        <f>margins!BA17-margins!BD17</f>
        <v>103.09400000000001</v>
      </c>
      <c r="D28" s="1319">
        <f>margins!BB17-margins!BD17</f>
        <v>102.994</v>
      </c>
      <c r="E28" s="1323">
        <f>margins!BC17-margins!BD17</f>
        <v>102.994</v>
      </c>
      <c r="G28" s="1123" t="s">
        <v>589</v>
      </c>
      <c r="H28" s="1305" t="s">
        <v>588</v>
      </c>
      <c r="I28"/>
      <c r="J28"/>
      <c r="K28"/>
      <c r="L28"/>
      <c r="M28" s="1316"/>
      <c r="O28" s="428" t="s">
        <v>205</v>
      </c>
      <c r="P28" s="432">
        <v>45</v>
      </c>
      <c r="Q28" s="436">
        <f>IF(P28=15,0,IF(P28=30,K32,IF(P28=45,K33,0)))</f>
        <v>0</v>
      </c>
    </row>
    <row r="29" spans="1:17" s="936" customFormat="1" ht="15.75" thickBot="1">
      <c r="A29" s="1082"/>
      <c r="B29" s="1318">
        <f>margins!$AZ18</f>
        <v>7.625</v>
      </c>
      <c r="C29" s="1321">
        <f>margins!BA18-margins!BD18</f>
        <v>103.532</v>
      </c>
      <c r="D29" s="1319">
        <f>margins!BB18-margins!BD18</f>
        <v>103.432</v>
      </c>
      <c r="E29" s="1323">
        <f>margins!BC18-margins!BD18</f>
        <v>103.432</v>
      </c>
      <c r="I29"/>
      <c r="J29"/>
      <c r="K29"/>
      <c r="L29"/>
      <c r="M29" s="1316"/>
      <c r="O29" s="429" t="s">
        <v>206</v>
      </c>
      <c r="P29" s="433"/>
      <c r="Q29" s="437">
        <f>Q18+Q19+Q20+Q21+Q22+Q23+Q24+Q25+Q26+Q28+Q17+Q27</f>
        <v>0</v>
      </c>
    </row>
    <row r="30" spans="1:17" s="936" customFormat="1" ht="15.75" thickBot="1">
      <c r="A30" s="1082"/>
      <c r="B30" s="1318">
        <f>margins!$AZ19</f>
        <v>7.75</v>
      </c>
      <c r="C30" s="1321">
        <f>margins!BA19-margins!BD19</f>
        <v>103.96900000000001</v>
      </c>
      <c r="D30" s="1319">
        <f>margins!BB19-margins!BD19</f>
        <v>103.869</v>
      </c>
      <c r="E30" s="1323">
        <f>margins!BC19-margins!BD19</f>
        <v>103.869</v>
      </c>
      <c r="G30" s="1081"/>
      <c r="H30" s="1080"/>
      <c r="J30"/>
      <c r="K30"/>
      <c r="L30"/>
      <c r="M30" s="1312"/>
      <c r="O30" s="420"/>
      <c r="P30" s="421"/>
      <c r="Q30" s="430"/>
    </row>
    <row r="31" spans="1:17" s="936" customFormat="1" ht="15.75" thickBot="1">
      <c r="A31" s="1082"/>
      <c r="B31" s="1318">
        <f>margins!$AZ20</f>
        <v>7.875</v>
      </c>
      <c r="C31" s="1321">
        <f>margins!BA20-margins!BD20</f>
        <v>104.34400000000001</v>
      </c>
      <c r="D31" s="1319">
        <f>margins!BB20-margins!BD20</f>
        <v>104.244</v>
      </c>
      <c r="E31" s="1323">
        <f>margins!BC20-margins!BD20</f>
        <v>104.244</v>
      </c>
      <c r="G31" s="1081"/>
      <c r="H31" s="1080"/>
      <c r="J31"/>
      <c r="K31"/>
      <c r="L31"/>
      <c r="M31" s="1312"/>
      <c r="O31" s="422" t="s">
        <v>207</v>
      </c>
      <c r="P31" s="423"/>
      <c r="Q31" s="438" t="e">
        <f>IF(ISNUMBER(MATCH("NA", Q17:Q28, 0)), "NA", IF(P23="Choose a Selection",(MIN(Q29+Q15,VLOOKUP($P$24,$F$15:$H$20,3,FALSE))),MIN(Q29+Q15,VLOOKUP($P$23,$G$15:$H$20,2,FALSE))))</f>
        <v>#N/A</v>
      </c>
    </row>
    <row r="32" spans="1:17" s="936" customFormat="1" ht="15.75" thickBot="1">
      <c r="A32" s="1082"/>
      <c r="B32" s="1318">
        <f>margins!$AZ21</f>
        <v>8</v>
      </c>
      <c r="C32" s="1321">
        <f>margins!BA21-margins!BD21</f>
        <v>104.71900000000001</v>
      </c>
      <c r="D32" s="1319">
        <f>margins!BB21-margins!BD21</f>
        <v>104.619</v>
      </c>
      <c r="E32" s="1323">
        <f>margins!BC21-margins!BD21</f>
        <v>104.619</v>
      </c>
      <c r="J32"/>
      <c r="K32"/>
      <c r="L32"/>
      <c r="M32" s="940"/>
      <c r="O32" s="417"/>
      <c r="P32" s="417"/>
      <c r="Q32" s="417"/>
    </row>
    <row r="33" spans="1:17" s="936" customFormat="1" ht="15.75" thickBot="1">
      <c r="A33" s="1082"/>
      <c r="B33" s="1318">
        <f>margins!$AZ22</f>
        <v>8.125</v>
      </c>
      <c r="C33" s="1321">
        <f>margins!BA22-margins!BD22</f>
        <v>105.09400000000001</v>
      </c>
      <c r="D33" s="1319">
        <f>margins!BB22-margins!BD22</f>
        <v>104.994</v>
      </c>
      <c r="E33" s="1323">
        <f>margins!BC22-margins!BD22</f>
        <v>104.994</v>
      </c>
      <c r="J33"/>
      <c r="K33"/>
      <c r="L33"/>
      <c r="M33" s="940"/>
      <c r="O33" s="749" t="s">
        <v>444</v>
      </c>
      <c r="P33" s="750"/>
      <c r="Q33" s="751"/>
    </row>
    <row r="34" spans="1:17" s="936" customFormat="1">
      <c r="A34" s="1082"/>
      <c r="B34" s="1318">
        <f>margins!$AZ23</f>
        <v>8.25</v>
      </c>
      <c r="C34" s="1321">
        <f>margins!BA23-margins!BD23</f>
        <v>105.46900000000001</v>
      </c>
      <c r="D34" s="1319">
        <f>margins!BB23-margins!BD23</f>
        <v>105.369</v>
      </c>
      <c r="E34" s="1323">
        <f>margins!BC23-margins!BD23</f>
        <v>105.369</v>
      </c>
      <c r="J34"/>
      <c r="K34"/>
      <c r="L34"/>
      <c r="M34" s="940"/>
    </row>
    <row r="35" spans="1:17" s="936" customFormat="1">
      <c r="A35" s="1082"/>
      <c r="B35" s="1318">
        <f>margins!$AZ24</f>
        <v>8.375</v>
      </c>
      <c r="C35" s="1321">
        <f>margins!BA24-margins!BD24</f>
        <v>105.84400000000001</v>
      </c>
      <c r="D35" s="1319">
        <f>margins!BB24-margins!BD24</f>
        <v>105.744</v>
      </c>
      <c r="E35" s="1323">
        <f>margins!BC24-margins!BD24</f>
        <v>105.744</v>
      </c>
      <c r="M35" s="940"/>
    </row>
    <row r="36" spans="1:17" s="936" customFormat="1">
      <c r="A36" s="1082"/>
      <c r="B36" s="1318">
        <f>margins!$AZ25</f>
        <v>8.5</v>
      </c>
      <c r="C36" s="1321">
        <f>margins!BA25-margins!BD25</f>
        <v>106.157</v>
      </c>
      <c r="D36" s="1319">
        <f>margins!BB25-margins!BD25</f>
        <v>106.057</v>
      </c>
      <c r="E36" s="1323">
        <f>margins!BC25-margins!BD25</f>
        <v>106.057</v>
      </c>
      <c r="M36" s="940"/>
    </row>
    <row r="37" spans="1:17" s="936" customFormat="1">
      <c r="A37" s="1082"/>
      <c r="B37" s="1318">
        <f>margins!$AZ26</f>
        <v>8.625</v>
      </c>
      <c r="C37" s="1321">
        <f>margins!BA26-margins!BD26</f>
        <v>106.46900000000001</v>
      </c>
      <c r="D37" s="1319">
        <f>margins!BB26-margins!BD26</f>
        <v>106.369</v>
      </c>
      <c r="E37" s="1323">
        <f>margins!BC26-margins!BD26</f>
        <v>106.369</v>
      </c>
      <c r="M37" s="940"/>
    </row>
    <row r="38" spans="1:17" s="936" customFormat="1">
      <c r="A38" s="1082"/>
      <c r="B38" s="1318">
        <f>margins!$AZ27</f>
        <v>8.75</v>
      </c>
      <c r="C38" s="1321">
        <f>margins!BA27-margins!BD27</f>
        <v>106.782</v>
      </c>
      <c r="D38" s="1319">
        <f>margins!BB27-margins!BD27</f>
        <v>106.682</v>
      </c>
      <c r="E38" s="1323">
        <f>margins!BC27-margins!BD27</f>
        <v>106.682</v>
      </c>
      <c r="M38" s="940"/>
    </row>
    <row r="39" spans="1:17" s="936" customFormat="1">
      <c r="A39" s="1082"/>
      <c r="B39" s="1318">
        <f>margins!$AZ28</f>
        <v>8.875</v>
      </c>
      <c r="C39" s="1321">
        <f>margins!BA28-margins!BD28</f>
        <v>107.032</v>
      </c>
      <c r="D39" s="1319">
        <f>margins!BB28-margins!BD28</f>
        <v>106.932</v>
      </c>
      <c r="E39" s="1323">
        <f>margins!BC28-margins!BD28</f>
        <v>106.932</v>
      </c>
      <c r="M39" s="940"/>
    </row>
    <row r="40" spans="1:17" s="936" customFormat="1">
      <c r="A40" s="1082"/>
      <c r="B40" s="1318">
        <f>margins!$AZ29</f>
        <v>9</v>
      </c>
      <c r="C40" s="1321">
        <f>margins!BA29-margins!BD29</f>
        <v>107.282</v>
      </c>
      <c r="D40" s="1319">
        <f>margins!BB29-margins!BD29</f>
        <v>107.182</v>
      </c>
      <c r="E40" s="1323">
        <f>margins!BC29-margins!BD29</f>
        <v>107.182</v>
      </c>
      <c r="M40" s="940"/>
    </row>
    <row r="41" spans="1:17" s="936" customFormat="1">
      <c r="A41" s="1082"/>
      <c r="B41" s="1318">
        <f>margins!$AZ30</f>
        <v>9.125</v>
      </c>
      <c r="C41" s="1321">
        <f>margins!BA30-margins!BD30</f>
        <v>107.532</v>
      </c>
      <c r="D41" s="1319">
        <f>margins!BB30-margins!BD30</f>
        <v>107.432</v>
      </c>
      <c r="E41" s="1323">
        <f>margins!BC30-margins!BD30</f>
        <v>107.432</v>
      </c>
      <c r="M41" s="940"/>
    </row>
    <row r="42" spans="1:17" s="936" customFormat="1" ht="15.75" thickBot="1">
      <c r="A42" s="1082"/>
      <c r="B42" s="1328">
        <f>margins!$AZ31</f>
        <v>9.25</v>
      </c>
      <c r="C42" s="1329">
        <f>margins!BA31-margins!BD31</f>
        <v>107.782</v>
      </c>
      <c r="D42" s="1361">
        <f>margins!BB31-margins!BD31</f>
        <v>107.682</v>
      </c>
      <c r="E42" s="1330">
        <f>margins!BC31-margins!BD31</f>
        <v>107.682</v>
      </c>
      <c r="M42" s="940"/>
    </row>
    <row r="43" spans="1:17" s="936" customFormat="1">
      <c r="A43" s="1082"/>
      <c r="B43" s="1114"/>
      <c r="C43" s="1113"/>
      <c r="D43" s="1214"/>
      <c r="M43" s="940"/>
    </row>
    <row r="44" spans="1:17" s="936" customFormat="1" ht="15.75" thickBot="1">
      <c r="A44" s="1082"/>
      <c r="G44" s="1081"/>
      <c r="H44" s="1080"/>
      <c r="M44" s="940"/>
    </row>
    <row r="45" spans="1:17" s="936" customFormat="1" ht="15.75" thickBot="1">
      <c r="A45" s="1082"/>
      <c r="B45" s="1823" t="s">
        <v>216</v>
      </c>
      <c r="C45" s="1823"/>
      <c r="D45" s="1823"/>
      <c r="E45" s="1736" t="s">
        <v>298</v>
      </c>
      <c r="F45" s="1737"/>
      <c r="G45" s="1737"/>
      <c r="H45" s="1737"/>
      <c r="I45" s="1738"/>
      <c r="J45"/>
      <c r="M45" s="940"/>
    </row>
    <row r="46" spans="1:17" s="936" customFormat="1" ht="15.75" thickBot="1">
      <c r="A46" s="1082"/>
      <c r="B46" s="1286"/>
      <c r="C46" s="1293"/>
      <c r="D46" s="1294" t="s">
        <v>191</v>
      </c>
      <c r="E46" s="1112" t="s">
        <v>15</v>
      </c>
      <c r="F46" s="1108" t="s">
        <v>16</v>
      </c>
      <c r="G46" s="1108" t="s">
        <v>17</v>
      </c>
      <c r="H46" s="1110" t="s">
        <v>18</v>
      </c>
      <c r="I46" s="1159" t="s">
        <v>19</v>
      </c>
      <c r="J46"/>
      <c r="M46" s="940"/>
    </row>
    <row r="47" spans="1:17" s="936" customFormat="1">
      <c r="A47" s="1082"/>
      <c r="B47" s="1772" t="s">
        <v>708</v>
      </c>
      <c r="C47" s="1778" t="s">
        <v>111</v>
      </c>
      <c r="D47" s="1824"/>
      <c r="E47" s="1095">
        <v>1.875</v>
      </c>
      <c r="F47" s="1094">
        <v>1.625</v>
      </c>
      <c r="G47" s="1094">
        <v>1.375</v>
      </c>
      <c r="H47" s="1094">
        <v>0.875</v>
      </c>
      <c r="I47" s="1093">
        <v>0.25</v>
      </c>
      <c r="J47"/>
      <c r="M47" s="940"/>
    </row>
    <row r="48" spans="1:17" s="936" customFormat="1">
      <c r="A48" s="1082"/>
      <c r="B48" s="1760"/>
      <c r="C48" s="1778" t="s">
        <v>24</v>
      </c>
      <c r="D48" s="1824"/>
      <c r="E48" s="1095">
        <v>1.75</v>
      </c>
      <c r="F48" s="1094">
        <v>1.5</v>
      </c>
      <c r="G48" s="1094">
        <v>1.2499999999999998</v>
      </c>
      <c r="H48" s="1094">
        <v>0.75</v>
      </c>
      <c r="I48" s="1093">
        <v>-1.1102230246251565E-16</v>
      </c>
      <c r="J48"/>
      <c r="M48" s="940"/>
    </row>
    <row r="49" spans="1:13" s="936" customFormat="1">
      <c r="A49" s="1082"/>
      <c r="B49" s="1760"/>
      <c r="C49" s="1778" t="s">
        <v>25</v>
      </c>
      <c r="D49" s="1824"/>
      <c r="E49" s="1095">
        <v>1.5</v>
      </c>
      <c r="F49" s="1094">
        <v>1.25</v>
      </c>
      <c r="G49" s="1094">
        <v>0.99999999999999978</v>
      </c>
      <c r="H49" s="1094">
        <v>0.5</v>
      </c>
      <c r="I49" s="1093">
        <v>-0.25</v>
      </c>
      <c r="J49"/>
      <c r="M49" s="940"/>
    </row>
    <row r="50" spans="1:13" s="936" customFormat="1">
      <c r="A50" s="1082"/>
      <c r="B50" s="1760"/>
      <c r="C50" s="1778" t="s">
        <v>26</v>
      </c>
      <c r="D50" s="1824"/>
      <c r="E50" s="1095">
        <v>0.87499999999999989</v>
      </c>
      <c r="F50" s="1094">
        <v>0.625</v>
      </c>
      <c r="G50" s="1094">
        <v>0.37499999999999978</v>
      </c>
      <c r="H50" s="1094">
        <v>-0.125</v>
      </c>
      <c r="I50" s="1093">
        <v>-1</v>
      </c>
      <c r="J50"/>
      <c r="M50" s="940"/>
    </row>
    <row r="51" spans="1:13" s="936" customFormat="1">
      <c r="A51" s="1082"/>
      <c r="B51" s="1760"/>
      <c r="C51" s="1778" t="s">
        <v>25</v>
      </c>
      <c r="D51" s="1824"/>
      <c r="E51" s="1095">
        <v>0.24999999999999992</v>
      </c>
      <c r="F51" s="1094">
        <v>-0.12500000000000011</v>
      </c>
      <c r="G51" s="1094">
        <v>-0.12500000000000011</v>
      </c>
      <c r="H51" s="1094">
        <v>-0.625</v>
      </c>
      <c r="I51" s="1093" t="s">
        <v>14</v>
      </c>
      <c r="J51"/>
      <c r="M51" s="940"/>
    </row>
    <row r="52" spans="1:13" s="936" customFormat="1" ht="15.75" thickBot="1">
      <c r="A52" s="1082"/>
      <c r="B52" s="1773"/>
      <c r="C52" s="1709" t="s">
        <v>26</v>
      </c>
      <c r="D52" s="1711"/>
      <c r="E52" s="1157">
        <v>-8.3266726846886741E-17</v>
      </c>
      <c r="F52" s="1156">
        <v>-0.37500000000000011</v>
      </c>
      <c r="G52" s="1156">
        <v>-0.62500000000000011</v>
      </c>
      <c r="H52" s="1156">
        <v>-1.125</v>
      </c>
      <c r="I52" s="1155" t="s">
        <v>14</v>
      </c>
      <c r="J52"/>
      <c r="M52" s="940"/>
    </row>
    <row r="53" spans="1:13" s="936" customFormat="1" ht="15.75" thickBot="1">
      <c r="A53" s="1082"/>
      <c r="B53" s="1085"/>
      <c r="C53" s="1085"/>
      <c r="D53" s="1085"/>
      <c r="E53" s="1085"/>
      <c r="F53" s="1169"/>
      <c r="G53" s="1212"/>
      <c r="H53" s="1169"/>
      <c r="I53" s="1169"/>
      <c r="J53"/>
      <c r="K53" s="1211"/>
      <c r="L53" s="1211"/>
      <c r="M53" s="1313"/>
    </row>
    <row r="54" spans="1:13" s="936" customFormat="1" ht="15.75" thickBot="1">
      <c r="A54" s="1082"/>
      <c r="B54" s="1823" t="s">
        <v>704</v>
      </c>
      <c r="C54" s="1823"/>
      <c r="D54" s="1823"/>
      <c r="E54" s="1736" t="s">
        <v>298</v>
      </c>
      <c r="F54" s="1737"/>
      <c r="G54" s="1737"/>
      <c r="H54" s="1737"/>
      <c r="I54" s="1738"/>
      <c r="J54"/>
      <c r="K54" s="1128"/>
      <c r="L54" s="1128"/>
      <c r="M54" s="1310"/>
    </row>
    <row r="55" spans="1:13" s="936" customFormat="1" ht="15.75" thickBot="1">
      <c r="A55" s="1082"/>
      <c r="B55" s="1761"/>
      <c r="C55" s="1762"/>
      <c r="D55" s="1762"/>
      <c r="E55" s="1210" t="s">
        <v>15</v>
      </c>
      <c r="F55" s="1208" t="s">
        <v>16</v>
      </c>
      <c r="G55" s="1208" t="s">
        <v>17</v>
      </c>
      <c r="H55" s="1207" t="s">
        <v>18</v>
      </c>
      <c r="I55" s="1364" t="s">
        <v>19</v>
      </c>
      <c r="J55"/>
      <c r="M55" s="940"/>
    </row>
    <row r="56" spans="1:13" s="936" customFormat="1" ht="15.75" thickBot="1">
      <c r="A56" s="1082"/>
      <c r="B56" s="1101" t="s">
        <v>71</v>
      </c>
      <c r="C56" s="1761" t="s">
        <v>72</v>
      </c>
      <c r="D56" s="1763"/>
      <c r="E56" s="1098">
        <v>-0.25</v>
      </c>
      <c r="F56" s="1097">
        <v>-0.25</v>
      </c>
      <c r="G56" s="1097">
        <v>-0.25</v>
      </c>
      <c r="H56" s="1097">
        <v>-0.25</v>
      </c>
      <c r="I56" s="1096">
        <v>-0.25</v>
      </c>
      <c r="J56"/>
      <c r="M56" s="940"/>
    </row>
    <row r="57" spans="1:13" s="936" customFormat="1" ht="15.75" thickBot="1">
      <c r="A57" s="1082"/>
      <c r="B57" s="1102" t="s">
        <v>157</v>
      </c>
      <c r="C57" s="1761" t="s">
        <v>124</v>
      </c>
      <c r="D57" s="1763"/>
      <c r="E57" s="1098">
        <v>0</v>
      </c>
      <c r="F57" s="1097">
        <v>0</v>
      </c>
      <c r="G57" s="1097">
        <v>0</v>
      </c>
      <c r="H57" s="1097">
        <v>0</v>
      </c>
      <c r="I57" s="1096">
        <v>0</v>
      </c>
      <c r="J57"/>
      <c r="M57" s="940"/>
    </row>
    <row r="58" spans="1:13" s="936" customFormat="1">
      <c r="A58" s="1082"/>
      <c r="B58" s="1772" t="s">
        <v>47</v>
      </c>
      <c r="C58" s="1715" t="s">
        <v>443</v>
      </c>
      <c r="D58" s="1717"/>
      <c r="E58" s="1154">
        <v>0</v>
      </c>
      <c r="F58" s="1153">
        <v>0</v>
      </c>
      <c r="G58" s="1153">
        <v>0</v>
      </c>
      <c r="H58" s="1153">
        <v>0</v>
      </c>
      <c r="I58" s="1152">
        <v>0</v>
      </c>
      <c r="J58"/>
      <c r="M58" s="940"/>
    </row>
    <row r="59" spans="1:13" s="936" customFormat="1">
      <c r="A59" s="1082"/>
      <c r="B59" s="1760"/>
      <c r="C59" s="1706" t="s">
        <v>127</v>
      </c>
      <c r="D59" s="1708"/>
      <c r="E59" s="1095">
        <v>0</v>
      </c>
      <c r="F59" s="1094">
        <v>0</v>
      </c>
      <c r="G59" s="1094">
        <v>0</v>
      </c>
      <c r="H59" s="1094">
        <v>0</v>
      </c>
      <c r="I59" s="1093">
        <v>0</v>
      </c>
      <c r="J59"/>
      <c r="M59" s="940"/>
    </row>
    <row r="60" spans="1:13" s="936" customFormat="1">
      <c r="A60" s="1082"/>
      <c r="B60" s="1760"/>
      <c r="C60" s="1706" t="s">
        <v>128</v>
      </c>
      <c r="D60" s="1708"/>
      <c r="E60" s="1095">
        <v>0</v>
      </c>
      <c r="F60" s="1094">
        <v>0</v>
      </c>
      <c r="G60" s="1094">
        <v>0</v>
      </c>
      <c r="H60" s="1094">
        <v>0</v>
      </c>
      <c r="I60" s="1093">
        <v>0</v>
      </c>
      <c r="J60"/>
      <c r="M60" s="940"/>
    </row>
    <row r="61" spans="1:13" s="936" customFormat="1">
      <c r="A61" s="1082"/>
      <c r="B61" s="1760"/>
      <c r="C61" s="1706" t="s">
        <v>129</v>
      </c>
      <c r="D61" s="1708"/>
      <c r="E61" s="1095">
        <v>0</v>
      </c>
      <c r="F61" s="1094">
        <v>0</v>
      </c>
      <c r="G61" s="1094">
        <v>0</v>
      </c>
      <c r="H61" s="1094">
        <v>0</v>
      </c>
      <c r="I61" s="1093">
        <v>0</v>
      </c>
      <c r="J61"/>
      <c r="M61" s="940"/>
    </row>
    <row r="62" spans="1:13" s="936" customFormat="1">
      <c r="A62" s="1082"/>
      <c r="B62" s="1760"/>
      <c r="C62" s="1706" t="s">
        <v>130</v>
      </c>
      <c r="D62" s="1708"/>
      <c r="E62" s="1095">
        <v>0</v>
      </c>
      <c r="F62" s="1094">
        <v>0</v>
      </c>
      <c r="G62" s="1094">
        <v>0</v>
      </c>
      <c r="H62" s="1094">
        <v>0</v>
      </c>
      <c r="I62" s="1093">
        <v>0</v>
      </c>
      <c r="J62"/>
      <c r="M62" s="940"/>
    </row>
    <row r="63" spans="1:13" s="936" customFormat="1" ht="15.75" thickBot="1">
      <c r="A63" s="1082"/>
      <c r="B63" s="1773"/>
      <c r="C63" s="1706" t="s">
        <v>131</v>
      </c>
      <c r="D63" s="1708"/>
      <c r="E63" s="1095">
        <v>0</v>
      </c>
      <c r="F63" s="1094">
        <v>0</v>
      </c>
      <c r="G63" s="1094">
        <v>0</v>
      </c>
      <c r="H63" s="1094">
        <v>0</v>
      </c>
      <c r="I63" s="1093">
        <v>0</v>
      </c>
      <c r="J63"/>
      <c r="M63" s="940"/>
    </row>
    <row r="64" spans="1:13" s="936" customFormat="1" ht="15.75" thickBot="1">
      <c r="A64" s="1082"/>
      <c r="B64" s="1272" t="s">
        <v>56</v>
      </c>
      <c r="C64" s="1761" t="s">
        <v>558</v>
      </c>
      <c r="D64" s="1763"/>
      <c r="E64" s="1092">
        <v>-0.375</v>
      </c>
      <c r="F64" s="1091">
        <v>-0.375</v>
      </c>
      <c r="G64" s="1091">
        <v>-0.375</v>
      </c>
      <c r="H64" s="1091">
        <v>-0.5</v>
      </c>
      <c r="I64" s="1090" t="s">
        <v>14</v>
      </c>
      <c r="J64"/>
      <c r="M64" s="940"/>
    </row>
    <row r="65" spans="1:13" s="936" customFormat="1" ht="15.75" thickBot="1">
      <c r="A65" s="1082"/>
      <c r="B65" s="1101" t="s">
        <v>65</v>
      </c>
      <c r="C65" s="1761" t="s">
        <v>136</v>
      </c>
      <c r="D65" s="1763"/>
      <c r="E65" s="1098">
        <v>-0.5</v>
      </c>
      <c r="F65" s="1097">
        <v>-0.5</v>
      </c>
      <c r="G65" s="1097">
        <v>-0.5</v>
      </c>
      <c r="H65" s="1097">
        <v>-0.5</v>
      </c>
      <c r="I65" s="1096">
        <v>-0.625</v>
      </c>
      <c r="J65"/>
      <c r="M65" s="940"/>
    </row>
    <row r="66" spans="1:13" s="936" customFormat="1" ht="15" customHeight="1">
      <c r="A66" s="1082"/>
      <c r="B66" s="1757" t="s">
        <v>584</v>
      </c>
      <c r="C66" s="1715" t="s">
        <v>95</v>
      </c>
      <c r="D66" s="1717"/>
      <c r="E66" s="1092">
        <v>1</v>
      </c>
      <c r="F66" s="1091">
        <v>1</v>
      </c>
      <c r="G66" s="1091">
        <v>1</v>
      </c>
      <c r="H66" s="1091">
        <v>1</v>
      </c>
      <c r="I66" s="1090">
        <v>1.125</v>
      </c>
      <c r="J66"/>
      <c r="M66" s="940"/>
    </row>
    <row r="67" spans="1:13" s="936" customFormat="1">
      <c r="A67" s="1082"/>
      <c r="B67" s="1758"/>
      <c r="C67" s="1706" t="s">
        <v>96</v>
      </c>
      <c r="D67" s="1708"/>
      <c r="E67" s="1095">
        <v>0.75</v>
      </c>
      <c r="F67" s="1094">
        <v>0.75</v>
      </c>
      <c r="G67" s="1094">
        <v>0.75</v>
      </c>
      <c r="H67" s="1094">
        <v>0.75</v>
      </c>
      <c r="I67" s="1093">
        <v>0.875</v>
      </c>
      <c r="J67"/>
      <c r="M67" s="940"/>
    </row>
    <row r="68" spans="1:13" s="936" customFormat="1">
      <c r="A68" s="1082"/>
      <c r="B68" s="1758"/>
      <c r="C68" s="1706" t="s">
        <v>7</v>
      </c>
      <c r="D68" s="1708"/>
      <c r="E68" s="1095">
        <v>0.25</v>
      </c>
      <c r="F68" s="1094">
        <v>0.25</v>
      </c>
      <c r="G68" s="1094">
        <v>0.25</v>
      </c>
      <c r="H68" s="1094">
        <v>0.25</v>
      </c>
      <c r="I68" s="1093">
        <v>0.25</v>
      </c>
      <c r="J68"/>
      <c r="M68" s="940"/>
    </row>
    <row r="69" spans="1:13" s="936" customFormat="1">
      <c r="A69" s="1082"/>
      <c r="B69" s="1777"/>
      <c r="C69" s="2017" t="s">
        <v>9</v>
      </c>
      <c r="D69" s="1708"/>
      <c r="E69" s="1095">
        <v>-0.375</v>
      </c>
      <c r="F69" s="1094">
        <v>-0.375</v>
      </c>
      <c r="G69" s="1094">
        <v>-0.375</v>
      </c>
      <c r="H69" s="1094">
        <v>-0.375</v>
      </c>
      <c r="I69" s="1093">
        <v>-0.5</v>
      </c>
      <c r="J69"/>
      <c r="M69" s="940"/>
    </row>
    <row r="70" spans="1:13" s="936" customFormat="1">
      <c r="A70" s="1082"/>
      <c r="B70" s="1758"/>
      <c r="C70" s="1706" t="s">
        <v>11</v>
      </c>
      <c r="D70" s="1708"/>
      <c r="E70" s="1095">
        <v>-1.125</v>
      </c>
      <c r="F70" s="1094">
        <v>-1.125</v>
      </c>
      <c r="G70" s="1094">
        <v>-1.375</v>
      </c>
      <c r="H70" s="1094">
        <v>-1.375</v>
      </c>
      <c r="I70" s="1093">
        <v>-1.6250000000000002</v>
      </c>
      <c r="J70"/>
      <c r="M70" s="940"/>
    </row>
    <row r="71" spans="1:13" s="936" customFormat="1" ht="15.75" thickBot="1">
      <c r="A71" s="1082"/>
      <c r="B71" s="1759"/>
      <c r="C71" s="1718" t="s">
        <v>97</v>
      </c>
      <c r="D71" s="1720"/>
      <c r="E71" s="1302">
        <v>-1.7500000000000002</v>
      </c>
      <c r="F71" s="1158">
        <v>-1.7500000000000002</v>
      </c>
      <c r="G71" s="1158">
        <v>-2</v>
      </c>
      <c r="H71" s="1158">
        <v>-2</v>
      </c>
      <c r="I71" s="1279">
        <v>-2.25</v>
      </c>
      <c r="J71"/>
      <c r="M71" s="940"/>
    </row>
    <row r="72" spans="1:13" s="936" customFormat="1">
      <c r="A72" s="1082"/>
      <c r="B72" s="1757" t="s">
        <v>441</v>
      </c>
      <c r="C72" s="1774" t="s">
        <v>183</v>
      </c>
      <c r="D72" s="1776"/>
      <c r="E72" s="1216">
        <v>0.75</v>
      </c>
      <c r="F72" s="1216">
        <v>0.75</v>
      </c>
      <c r="G72" s="1216">
        <v>0.75</v>
      </c>
      <c r="H72" s="1216">
        <v>0.75</v>
      </c>
      <c r="I72" s="1217">
        <v>0.875</v>
      </c>
      <c r="J72"/>
      <c r="M72" s="940"/>
    </row>
    <row r="73" spans="1:13" s="936" customFormat="1">
      <c r="A73" s="1082"/>
      <c r="B73" s="1758"/>
      <c r="C73" s="1778" t="s">
        <v>184</v>
      </c>
      <c r="D73" s="1824"/>
      <c r="E73" s="1158">
        <v>0.5</v>
      </c>
      <c r="F73" s="1158">
        <v>0.5</v>
      </c>
      <c r="G73" s="1158">
        <v>0.5</v>
      </c>
      <c r="H73" s="1158">
        <v>0.5</v>
      </c>
      <c r="I73" s="1279">
        <v>0.625</v>
      </c>
      <c r="J73"/>
      <c r="M73" s="940"/>
    </row>
    <row r="74" spans="1:13" s="936" customFormat="1">
      <c r="A74" s="1082"/>
      <c r="B74" s="1758"/>
      <c r="C74" s="1778" t="s">
        <v>185</v>
      </c>
      <c r="D74" s="1824"/>
      <c r="E74" s="1158">
        <v>0</v>
      </c>
      <c r="F74" s="1158">
        <v>0</v>
      </c>
      <c r="G74" s="1158">
        <v>0</v>
      </c>
      <c r="H74" s="1158">
        <v>0</v>
      </c>
      <c r="I74" s="1279">
        <v>0</v>
      </c>
      <c r="J74"/>
      <c r="M74" s="940"/>
    </row>
    <row r="75" spans="1:13" s="936" customFormat="1" ht="15.75" thickBot="1">
      <c r="A75" s="1082"/>
      <c r="B75" s="1759"/>
      <c r="C75" s="1709" t="s">
        <v>186</v>
      </c>
      <c r="D75" s="1711"/>
      <c r="E75" s="1087">
        <v>-0.375</v>
      </c>
      <c r="F75" s="1087">
        <v>-0.375</v>
      </c>
      <c r="G75" s="1087">
        <v>-0.375</v>
      </c>
      <c r="H75" s="1087">
        <v>-0.375</v>
      </c>
      <c r="I75" s="1086">
        <v>-0.5</v>
      </c>
      <c r="J75"/>
      <c r="M75" s="940"/>
    </row>
    <row r="76" spans="1:13" s="936" customFormat="1" ht="15.75" thickBot="1">
      <c r="A76" s="1082"/>
      <c r="B76" s="1772" t="s">
        <v>68</v>
      </c>
      <c r="C76" s="1709" t="s">
        <v>69</v>
      </c>
      <c r="D76" s="1711"/>
      <c r="E76" s="1088" t="s">
        <v>14</v>
      </c>
      <c r="F76" s="1087" t="s">
        <v>14</v>
      </c>
      <c r="G76" s="1087" t="s">
        <v>14</v>
      </c>
      <c r="H76" s="1087" t="s">
        <v>14</v>
      </c>
      <c r="I76" s="1086" t="s">
        <v>14</v>
      </c>
      <c r="J76"/>
      <c r="M76" s="940"/>
    </row>
    <row r="77" spans="1:13" s="936" customFormat="1" ht="15.75" thickBot="1">
      <c r="A77" s="1082"/>
      <c r="B77" s="1773"/>
      <c r="C77" s="1761" t="s">
        <v>161</v>
      </c>
      <c r="D77" s="1763"/>
      <c r="E77" s="1098">
        <v>-0.25</v>
      </c>
      <c r="F77" s="1097">
        <v>-0.25</v>
      </c>
      <c r="G77" s="1097">
        <v>-0.25</v>
      </c>
      <c r="H77" s="1097">
        <v>-0.25</v>
      </c>
      <c r="I77" s="1096">
        <v>-0.25</v>
      </c>
      <c r="J77"/>
      <c r="M77" s="940"/>
    </row>
    <row r="78" spans="1:13" s="936" customFormat="1" ht="15" customHeight="1" thickBot="1">
      <c r="A78" s="1082"/>
      <c r="B78" s="1272" t="s">
        <v>308</v>
      </c>
      <c r="C78" s="1761" t="s">
        <v>139</v>
      </c>
      <c r="D78" s="1763"/>
      <c r="E78" s="1092">
        <v>-2.25</v>
      </c>
      <c r="F78" s="1091">
        <v>-2.25</v>
      </c>
      <c r="G78" s="1091">
        <v>-2.375</v>
      </c>
      <c r="H78" s="1091">
        <v>-2.375</v>
      </c>
      <c r="I78" s="1090" t="s">
        <v>14</v>
      </c>
      <c r="J78" s="1203"/>
      <c r="K78" s="1203"/>
      <c r="L78" s="1203"/>
      <c r="M78" s="1279"/>
    </row>
    <row r="79" spans="1:13" s="936" customFormat="1">
      <c r="A79" s="1082"/>
      <c r="C79" s="1150"/>
      <c r="D79" s="1150"/>
      <c r="E79" s="1150"/>
      <c r="F79" s="1158"/>
      <c r="G79" s="1203"/>
      <c r="H79" s="1158"/>
      <c r="I79" s="1158"/>
      <c r="J79" s="1203"/>
      <c r="K79" s="1203"/>
      <c r="L79" s="1203"/>
      <c r="M79" s="1279"/>
    </row>
    <row r="80" spans="1:13" s="936" customFormat="1">
      <c r="A80" s="1082"/>
      <c r="C80" s="1150"/>
      <c r="D80" s="1150"/>
      <c r="E80" s="1150"/>
      <c r="F80" s="1158"/>
      <c r="G80" s="1203"/>
      <c r="H80" s="1158"/>
      <c r="I80" s="1158"/>
      <c r="J80" s="1203"/>
      <c r="K80" s="1203"/>
      <c r="L80" s="1203"/>
      <c r="M80" s="1279"/>
    </row>
    <row r="81" spans="1:13" s="936" customFormat="1">
      <c r="A81" s="1082"/>
      <c r="C81" s="1150"/>
      <c r="D81" s="1150"/>
      <c r="E81" s="1150"/>
      <c r="F81" s="1158"/>
      <c r="G81" s="1203"/>
      <c r="H81" s="1158"/>
      <c r="I81" s="1158"/>
      <c r="J81" s="1203"/>
      <c r="K81" s="1203"/>
      <c r="L81" s="1203"/>
      <c r="M81" s="1279"/>
    </row>
    <row r="82" spans="1:13" s="936" customFormat="1" ht="15" customHeight="1">
      <c r="A82" s="1082"/>
      <c r="C82" s="1150"/>
      <c r="D82" s="1150"/>
      <c r="E82" s="1150"/>
      <c r="F82" s="1203"/>
      <c r="G82" s="1203"/>
      <c r="H82" s="1158"/>
      <c r="I82" s="1203"/>
      <c r="J82" s="1203"/>
      <c r="K82" s="1158"/>
      <c r="L82" s="1158"/>
      <c r="M82" s="1279"/>
    </row>
    <row r="83" spans="1:13" s="936" customFormat="1">
      <c r="A83" s="1082"/>
      <c r="B83" s="1204"/>
      <c r="C83" s="1150"/>
      <c r="D83" s="1150"/>
      <c r="E83" s="1150"/>
      <c r="F83" s="1203"/>
      <c r="G83" s="1158"/>
      <c r="H83" s="1203"/>
      <c r="I83" s="1203"/>
      <c r="J83" s="1158"/>
      <c r="K83" s="1158"/>
      <c r="L83" s="1158"/>
      <c r="M83" s="1279"/>
    </row>
    <row r="84" spans="1:13" s="936" customFormat="1">
      <c r="A84" s="1082"/>
      <c r="B84" s="1204"/>
      <c r="C84" s="1150"/>
      <c r="D84" s="1150"/>
      <c r="E84" s="1150"/>
      <c r="F84" s="1203"/>
      <c r="G84" s="1158"/>
      <c r="H84" s="1203"/>
      <c r="I84" s="1203"/>
      <c r="J84" s="1158"/>
      <c r="K84" s="1158"/>
      <c r="L84" s="1158"/>
      <c r="M84" s="1279"/>
    </row>
    <row r="85" spans="1:13" s="936" customFormat="1">
      <c r="A85" s="1082"/>
      <c r="B85" s="1204"/>
      <c r="C85" s="1150"/>
      <c r="D85" s="1150"/>
      <c r="E85" s="1150"/>
      <c r="F85" s="1203"/>
      <c r="G85" s="1158"/>
      <c r="H85" s="1203"/>
      <c r="I85" s="1203"/>
      <c r="J85" s="1158"/>
      <c r="K85" s="1158"/>
      <c r="L85" s="1158"/>
      <c r="M85" s="1279"/>
    </row>
    <row r="86" spans="1:13" s="936" customFormat="1">
      <c r="A86" s="1082"/>
      <c r="B86" s="1204"/>
      <c r="C86" s="1150"/>
      <c r="D86" s="1150"/>
      <c r="E86" s="1150"/>
      <c r="F86" s="1203"/>
      <c r="G86" s="1203"/>
      <c r="H86" s="1158"/>
      <c r="I86" s="1203"/>
      <c r="J86" s="1203"/>
      <c r="K86" s="1158"/>
      <c r="L86" s="1158"/>
      <c r="M86" s="1279"/>
    </row>
    <row r="87" spans="1:13" s="936" customFormat="1">
      <c r="A87" s="1082"/>
      <c r="B87" s="1085" t="s">
        <v>583</v>
      </c>
      <c r="C87" s="1150"/>
      <c r="D87" s="1150"/>
      <c r="E87" s="1150"/>
      <c r="F87" s="1203"/>
      <c r="G87" s="1203"/>
      <c r="H87" s="1158"/>
      <c r="I87" s="1203"/>
      <c r="J87" s="1203"/>
      <c r="K87" s="1158"/>
      <c r="L87" s="1158"/>
      <c r="M87" s="1279"/>
    </row>
    <row r="88" spans="1:13" s="936" customFormat="1">
      <c r="A88" s="1082"/>
      <c r="B88" s="1085"/>
      <c r="C88" s="1150"/>
      <c r="D88" s="1150"/>
      <c r="E88" s="1150"/>
      <c r="F88" s="1158"/>
      <c r="G88" s="1203"/>
      <c r="H88" s="1158"/>
      <c r="I88" s="1158"/>
      <c r="J88" s="1203"/>
      <c r="K88" s="1203"/>
      <c r="L88" s="1203"/>
      <c r="M88" s="1279"/>
    </row>
    <row r="89" spans="1:13" s="936" customFormat="1">
      <c r="A89" s="1082"/>
      <c r="B89" s="1085"/>
      <c r="C89" s="1150"/>
      <c r="D89" s="1150"/>
      <c r="E89" s="1150"/>
      <c r="F89" s="1158"/>
      <c r="G89" s="1203"/>
      <c r="H89" s="1158"/>
      <c r="I89" s="1158"/>
      <c r="J89" s="1203"/>
      <c r="K89" s="1203"/>
      <c r="L89" s="1203"/>
      <c r="M89" s="1279"/>
    </row>
    <row r="90" spans="1:13" s="936" customFormat="1">
      <c r="A90" s="1082"/>
      <c r="B90" s="1085"/>
      <c r="C90" s="1150"/>
      <c r="D90" s="1150"/>
      <c r="E90" s="1150"/>
      <c r="F90" s="1158"/>
      <c r="G90" s="1203"/>
      <c r="H90" s="1158"/>
      <c r="I90" s="1158"/>
      <c r="J90" s="1203"/>
      <c r="K90" s="1203"/>
      <c r="L90" s="1203"/>
      <c r="M90" s="1279"/>
    </row>
    <row r="91" spans="1:13" s="936" customFormat="1">
      <c r="A91" s="1082"/>
      <c r="B91" s="1085" t="s">
        <v>68</v>
      </c>
      <c r="D91" s="1150"/>
      <c r="E91" s="1150"/>
      <c r="F91" s="1158"/>
      <c r="G91" s="1203"/>
      <c r="H91" s="1158"/>
      <c r="I91" s="1158"/>
      <c r="J91" s="1203"/>
      <c r="K91" s="1203"/>
      <c r="L91" s="1203"/>
      <c r="M91" s="1279"/>
    </row>
    <row r="92" spans="1:13" s="936" customFormat="1">
      <c r="A92" s="1082"/>
      <c r="B92" s="1085"/>
      <c r="D92" s="1150"/>
      <c r="E92" s="1150"/>
      <c r="F92" s="1158"/>
      <c r="G92" s="1203"/>
      <c r="H92" s="1158"/>
      <c r="I92" s="1158"/>
      <c r="J92" s="1203"/>
      <c r="K92" s="1203"/>
      <c r="L92" s="1203"/>
      <c r="M92" s="1279"/>
    </row>
    <row r="93" spans="1:13" s="936" customFormat="1">
      <c r="A93" s="1082"/>
      <c r="B93" s="1170" t="s">
        <v>133</v>
      </c>
      <c r="C93" s="1150"/>
      <c r="D93" s="1150"/>
      <c r="E93" s="1150"/>
      <c r="F93" s="1168"/>
      <c r="G93" s="1168"/>
      <c r="H93" s="1168"/>
      <c r="I93" s="1168"/>
      <c r="J93" s="1168"/>
      <c r="K93" s="1168"/>
      <c r="L93" s="1168"/>
      <c r="M93" s="1314"/>
    </row>
    <row r="94" spans="1:13" s="936" customFormat="1">
      <c r="A94" s="1082"/>
      <c r="B94" s="1151"/>
      <c r="C94" s="1150"/>
      <c r="D94" s="1150"/>
      <c r="E94" s="1150"/>
      <c r="F94" s="1150"/>
      <c r="G94" s="1150"/>
      <c r="H94" s="1150"/>
      <c r="I94" s="1150"/>
      <c r="J94" s="1150"/>
      <c r="K94" s="1150"/>
      <c r="L94" s="1150"/>
      <c r="M94" s="1315"/>
    </row>
    <row r="95" spans="1:13" s="936" customFormat="1">
      <c r="A95" s="1082"/>
      <c r="M95" s="940"/>
    </row>
    <row r="96" spans="1:13" s="936" customFormat="1">
      <c r="A96" s="1082"/>
      <c r="M96" s="940"/>
    </row>
    <row r="97" spans="1:13" s="936" customFormat="1">
      <c r="A97" s="1082"/>
      <c r="M97" s="940"/>
    </row>
    <row r="98" spans="1:13" s="936" customFormat="1">
      <c r="A98" s="1082"/>
      <c r="M98" s="940"/>
    </row>
    <row r="99" spans="1:13" s="936" customFormat="1">
      <c r="A99" s="1082"/>
      <c r="M99" s="940"/>
    </row>
    <row r="100" spans="1:13" s="936" customFormat="1">
      <c r="A100" s="1082"/>
      <c r="M100" s="940"/>
    </row>
    <row r="101" spans="1:13" s="936" customFormat="1">
      <c r="A101" s="1082"/>
      <c r="M101" s="940"/>
    </row>
    <row r="102" spans="1:13" s="936" customFormat="1">
      <c r="A102" s="1082"/>
      <c r="M102" s="940"/>
    </row>
    <row r="103" spans="1:13" s="936" customFormat="1" ht="15" customHeight="1">
      <c r="A103" s="1082"/>
      <c r="M103" s="940"/>
    </row>
    <row r="104" spans="1:13" s="936" customFormat="1" ht="15" customHeight="1">
      <c r="A104" s="1082"/>
      <c r="M104" s="940"/>
    </row>
    <row r="105" spans="1:13" s="936" customFormat="1" ht="15" customHeight="1">
      <c r="A105" s="1082"/>
      <c r="M105" s="940"/>
    </row>
    <row r="106" spans="1:13" s="936" customFormat="1" ht="15" customHeight="1">
      <c r="A106" s="1082"/>
      <c r="M106" s="940"/>
    </row>
    <row r="107" spans="1:13" s="936" customFormat="1" ht="15" customHeight="1">
      <c r="A107" s="1082"/>
      <c r="M107" s="940"/>
    </row>
    <row r="108" spans="1:13" s="936" customFormat="1" ht="15" customHeight="1">
      <c r="A108" s="1082"/>
      <c r="M108" s="940"/>
    </row>
    <row r="109" spans="1:13" s="936" customFormat="1">
      <c r="A109" s="1082"/>
      <c r="M109" s="940"/>
    </row>
    <row r="110" spans="1:13" s="936" customFormat="1">
      <c r="A110" s="1082"/>
      <c r="M110" s="940"/>
    </row>
    <row r="111" spans="1:13" s="936" customFormat="1">
      <c r="A111" s="1082"/>
      <c r="M111" s="940"/>
    </row>
    <row r="112" spans="1:13" s="936" customFormat="1">
      <c r="A112" s="1082"/>
      <c r="M112" s="940"/>
    </row>
    <row r="113" spans="1:13" s="936" customFormat="1">
      <c r="A113" s="1082"/>
      <c r="G113" s="1081"/>
      <c r="H113" s="1080"/>
      <c r="M113" s="940"/>
    </row>
    <row r="114" spans="1:13" s="936" customFormat="1">
      <c r="A114" s="1082"/>
      <c r="G114" s="1081"/>
      <c r="H114" s="1080"/>
      <c r="M114" s="940"/>
    </row>
    <row r="115" spans="1:13" s="936" customFormat="1">
      <c r="A115" s="1082"/>
      <c r="G115" s="1081"/>
      <c r="H115" s="1080"/>
      <c r="M115" s="940"/>
    </row>
    <row r="116" spans="1:13" s="936" customFormat="1">
      <c r="A116" s="1082"/>
      <c r="G116" s="1081"/>
      <c r="H116" s="1080"/>
      <c r="M116" s="940"/>
    </row>
    <row r="117" spans="1:13" s="936" customFormat="1">
      <c r="A117" s="1082"/>
      <c r="G117" s="1081"/>
      <c r="H117" s="1080"/>
      <c r="M117" s="940"/>
    </row>
    <row r="118" spans="1:13" s="936" customFormat="1">
      <c r="A118" s="1082"/>
      <c r="M118" s="940"/>
    </row>
    <row r="119" spans="1:13" s="936" customFormat="1">
      <c r="A119" s="1082"/>
      <c r="M119" s="940"/>
    </row>
    <row r="120" spans="1:13" s="936" customFormat="1">
      <c r="A120" s="1082"/>
      <c r="M120" s="940"/>
    </row>
    <row r="121" spans="1:13" s="936" customFormat="1">
      <c r="A121" s="1082"/>
      <c r="M121" s="940"/>
    </row>
    <row r="122" spans="1:13" s="936" customFormat="1">
      <c r="A122" s="1082"/>
      <c r="M122" s="940"/>
    </row>
    <row r="123" spans="1:13" s="936" customFormat="1">
      <c r="A123" s="1082"/>
      <c r="M123" s="940"/>
    </row>
    <row r="124" spans="1:13" s="936" customFormat="1">
      <c r="A124" s="1082"/>
      <c r="M124" s="940"/>
    </row>
    <row r="125" spans="1:13" s="936" customFormat="1" ht="15.75" thickBot="1">
      <c r="A125" s="1149"/>
      <c r="M125" s="940"/>
    </row>
    <row r="126" spans="1:13" s="936" customFormat="1" ht="15" customHeight="1">
      <c r="A126" s="945"/>
      <c r="B126" s="1799" t="s">
        <v>181</v>
      </c>
      <c r="C126" s="1799"/>
      <c r="D126" s="1799"/>
      <c r="E126" s="1799"/>
      <c r="F126" s="1799"/>
      <c r="G126" s="1799"/>
      <c r="H126" s="1799"/>
      <c r="I126" s="1799"/>
      <c r="J126" s="1799"/>
      <c r="K126" s="1799"/>
      <c r="L126" s="1799"/>
      <c r="M126" s="1820"/>
    </row>
    <row r="127" spans="1:13" s="936" customFormat="1">
      <c r="A127" s="942"/>
      <c r="B127" s="1800"/>
      <c r="C127" s="1800"/>
      <c r="D127" s="1800"/>
      <c r="E127" s="1800"/>
      <c r="F127" s="1800"/>
      <c r="G127" s="1800"/>
      <c r="H127" s="1800"/>
      <c r="I127" s="1800"/>
      <c r="J127" s="1800"/>
      <c r="K127" s="1800"/>
      <c r="L127" s="1800"/>
      <c r="M127" s="1821"/>
    </row>
    <row r="128" spans="1:13" s="936" customFormat="1">
      <c r="A128" s="942"/>
      <c r="B128" s="1800"/>
      <c r="C128" s="1800"/>
      <c r="D128" s="1800"/>
      <c r="E128" s="1800"/>
      <c r="F128" s="1800"/>
      <c r="G128" s="1800"/>
      <c r="H128" s="1800"/>
      <c r="I128" s="1800"/>
      <c r="J128" s="1800"/>
      <c r="K128" s="1800"/>
      <c r="L128" s="1800"/>
      <c r="M128" s="1821"/>
    </row>
    <row r="129" spans="1:13" s="936" customFormat="1" ht="15.75" thickBot="1">
      <c r="A129" s="939"/>
      <c r="B129" s="1801"/>
      <c r="C129" s="1801"/>
      <c r="D129" s="1801"/>
      <c r="E129" s="1801"/>
      <c r="F129" s="1801"/>
      <c r="G129" s="1801"/>
      <c r="H129" s="1801"/>
      <c r="I129" s="1801"/>
      <c r="J129" s="1801"/>
      <c r="K129" s="1801"/>
      <c r="L129" s="1801"/>
      <c r="M129" s="1822"/>
    </row>
  </sheetData>
  <mergeCells count="49">
    <mergeCell ref="K2:L2"/>
    <mergeCell ref="K3:L3"/>
    <mergeCell ref="A10:M11"/>
    <mergeCell ref="O10:Q10"/>
    <mergeCell ref="C12:E12"/>
    <mergeCell ref="C58:D58"/>
    <mergeCell ref="C59:D59"/>
    <mergeCell ref="C60:D60"/>
    <mergeCell ref="C61:D61"/>
    <mergeCell ref="C62:D62"/>
    <mergeCell ref="B76:B77"/>
    <mergeCell ref="C76:D76"/>
    <mergeCell ref="C77:D77"/>
    <mergeCell ref="B126:M129"/>
    <mergeCell ref="C78:D78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C52:D52"/>
    <mergeCell ref="B47:B52"/>
    <mergeCell ref="E54:I54"/>
    <mergeCell ref="E45:I45"/>
    <mergeCell ref="C57:D57"/>
    <mergeCell ref="B54:D54"/>
    <mergeCell ref="B55:D55"/>
    <mergeCell ref="C56:D56"/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margins!$AO$145:$AO$147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margins!$AO$160:$AO$164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margins!$AO$136:$AO$142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margins!$AO$172:$AO$173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margins!$AO$179:$AO$185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38" zoomScaleNormal="130" workbookViewId="0">
      <selection activeCell="S20" sqref="S2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502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476</v>
      </c>
      <c r="D28" s="1680"/>
      <c r="E28" s="1680"/>
      <c r="F28" s="1680"/>
      <c r="G28" s="342"/>
      <c r="H28" s="317"/>
      <c r="I28" s="1681" t="s">
        <v>678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477</v>
      </c>
      <c r="D29" s="345"/>
      <c r="E29" s="345"/>
      <c r="F29" s="115"/>
      <c r="G29" s="116" t="s">
        <v>171</v>
      </c>
      <c r="H29" s="317"/>
      <c r="I29" s="1681" t="s">
        <v>385</v>
      </c>
      <c r="J29" s="1682"/>
      <c r="K29" s="1682"/>
      <c r="L29" s="1682"/>
      <c r="M29" s="1682"/>
      <c r="N29" s="1682"/>
      <c r="O29" s="1683"/>
      <c r="P29" s="318"/>
      <c r="Q29" s="440"/>
    </row>
    <row r="30" spans="1:17" ht="13.5" customHeight="1">
      <c r="A30" s="316"/>
      <c r="B30" s="351"/>
      <c r="C30" s="587" t="s">
        <v>478</v>
      </c>
      <c r="D30" s="345"/>
      <c r="E30" s="345"/>
      <c r="F30" s="115"/>
      <c r="G30" s="116" t="s">
        <v>172</v>
      </c>
      <c r="H30" s="317"/>
      <c r="I30" s="368"/>
      <c r="J30" s="1664" t="s">
        <v>384</v>
      </c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349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U66"/>
  <sheetViews>
    <sheetView showGridLines="0" topLeftCell="A6" workbookViewId="0">
      <selection activeCell="S20" sqref="S20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6.140625" style="663" bestFit="1" customWidth="1"/>
    <col min="6" max="6" width="36" style="663" customWidth="1"/>
    <col min="7" max="7" width="22.42578125" style="663" bestFit="1" customWidth="1"/>
    <col min="8" max="11" width="14.28515625" style="663" customWidth="1"/>
    <col min="12" max="12" width="13.5703125" style="663" customWidth="1"/>
    <col min="13" max="14" width="1.85546875" style="663" customWidth="1"/>
    <col min="15" max="15" width="1.7109375" style="663" customWidth="1"/>
    <col min="16" max="16" width="19.140625" style="663" customWidth="1"/>
    <col min="17" max="17" width="20.42578125" style="663" bestFit="1" customWidth="1"/>
    <col min="18" max="18" width="21" style="663" bestFit="1" customWidth="1"/>
    <col min="19" max="16384" width="8.7109375" style="663"/>
  </cols>
  <sheetData>
    <row r="1" spans="1:19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customFormat="1" ht="26.25">
      <c r="A2" s="38"/>
      <c r="B2" s="39"/>
      <c r="C2" s="1793" t="s">
        <v>477</v>
      </c>
      <c r="D2" s="1793"/>
      <c r="E2" s="1793"/>
      <c r="F2" s="1793"/>
      <c r="G2" s="1793"/>
      <c r="H2" s="1793"/>
      <c r="I2" s="1793"/>
      <c r="J2" s="1793"/>
      <c r="K2" s="1793"/>
      <c r="L2" s="1793"/>
      <c r="O2" s="66"/>
    </row>
    <row r="3" spans="1:19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O3" s="66"/>
    </row>
    <row r="4" spans="1:19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O4" s="66"/>
      <c r="P4" s="66"/>
      <c r="Q4" s="66"/>
      <c r="R4" s="66"/>
    </row>
    <row r="5" spans="1:19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66"/>
      <c r="P5" s="424" t="s">
        <v>555</v>
      </c>
      <c r="Q5" s="425"/>
      <c r="R5" s="1414">
        <v>46223.360266203701</v>
      </c>
    </row>
    <row r="6" spans="1:19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1"/>
      <c r="Q6" s="1"/>
      <c r="R6" s="1"/>
    </row>
    <row r="7" spans="1:19" ht="15.75" customHeight="1" thickBot="1">
      <c r="A7" s="1805" t="s">
        <v>538</v>
      </c>
      <c r="B7" s="1806"/>
      <c r="C7" s="1807"/>
      <c r="D7" s="908"/>
      <c r="E7" s="931"/>
      <c r="F7" s="907" t="s">
        <v>410</v>
      </c>
      <c r="G7" s="1486" t="s">
        <v>411</v>
      </c>
      <c r="H7"/>
      <c r="I7"/>
      <c r="J7"/>
      <c r="K7"/>
      <c r="L7" s="697"/>
      <c r="M7" s="899"/>
      <c r="N7" s="899"/>
      <c r="P7" s="441" t="s">
        <v>195</v>
      </c>
      <c r="Q7" s="442" t="s">
        <v>196</v>
      </c>
      <c r="R7" s="442" t="s">
        <v>197</v>
      </c>
    </row>
    <row r="8" spans="1:19" ht="19.5" customHeight="1" thickBot="1">
      <c r="A8" s="909" t="s">
        <v>3</v>
      </c>
      <c r="B8" s="910" t="s">
        <v>539</v>
      </c>
      <c r="C8" s="910" t="s">
        <v>387</v>
      </c>
      <c r="D8" s="911"/>
      <c r="E8" s="932" t="s">
        <v>205</v>
      </c>
      <c r="F8" s="933">
        <v>30</v>
      </c>
      <c r="G8" s="1490">
        <v>-0.375</v>
      </c>
      <c r="H8"/>
      <c r="I8"/>
      <c r="J8"/>
      <c r="K8"/>
      <c r="L8" s="697"/>
      <c r="M8"/>
      <c r="N8" s="884"/>
      <c r="P8" s="418"/>
      <c r="Q8" s="418"/>
      <c r="R8" s="418"/>
    </row>
    <row r="9" spans="1:19" ht="15" customHeight="1" thickBot="1">
      <c r="A9" s="915">
        <f>margins!BF3</f>
        <v>6.125</v>
      </c>
      <c r="B9" s="915">
        <f>margins!BH3-margins!BI3</f>
        <v>95.093299999999971</v>
      </c>
      <c r="C9" s="915">
        <f>margins!BH3-margins!BI3</f>
        <v>95.093299999999971</v>
      </c>
      <c r="D9" s="916"/>
      <c r="E9" s="1529"/>
      <c r="F9" s="925"/>
      <c r="G9" s="925"/>
      <c r="H9"/>
      <c r="I9"/>
      <c r="J9"/>
      <c r="K9"/>
      <c r="L9" s="697"/>
      <c r="M9"/>
      <c r="N9" s="674"/>
      <c r="P9" s="427" t="s">
        <v>198</v>
      </c>
      <c r="Q9" s="580" t="s">
        <v>387</v>
      </c>
      <c r="R9" s="630"/>
      <c r="S9" s="695"/>
    </row>
    <row r="10" spans="1:19" ht="15" customHeight="1" thickBot="1">
      <c r="A10" s="915">
        <f>margins!BF4</f>
        <v>6.25</v>
      </c>
      <c r="B10" s="915">
        <f>margins!BH4-margins!BI4</f>
        <v>95.843299999999971</v>
      </c>
      <c r="C10" s="915">
        <f>margins!BH4-margins!BI4</f>
        <v>95.843299999999971</v>
      </c>
      <c r="D10" s="916"/>
      <c r="E10" s="1265" t="s">
        <v>94</v>
      </c>
      <c r="F10" s="1266" t="s">
        <v>670</v>
      </c>
      <c r="G10" s="923"/>
      <c r="H10" s="923"/>
      <c r="I10" s="2033" t="s">
        <v>738</v>
      </c>
      <c r="J10" s="2034"/>
      <c r="K10" s="2034"/>
      <c r="L10" s="2035"/>
      <c r="M10"/>
      <c r="N10" s="674"/>
      <c r="P10" s="428" t="s">
        <v>199</v>
      </c>
      <c r="Q10" s="582">
        <v>6.125</v>
      </c>
      <c r="R10" s="436">
        <f>IF(Q9="30 Yr Fixed",VLOOKUP(Q10,$A$8:$C$44,3,FALSE),VLOOKUP(Q10,$A$8:$C$44,2,FALSE))</f>
        <v>95.093299999999971</v>
      </c>
      <c r="S10" s="695"/>
    </row>
    <row r="11" spans="1:19" ht="15">
      <c r="A11" s="915">
        <f>margins!BF5</f>
        <v>6.375</v>
      </c>
      <c r="B11" s="915">
        <f>margins!BH5-margins!BI5</f>
        <v>96.593299999999971</v>
      </c>
      <c r="C11" s="915">
        <f>margins!BH5-margins!BI5</f>
        <v>96.593299999999971</v>
      </c>
      <c r="D11" s="916"/>
      <c r="E11" s="56" t="s">
        <v>95</v>
      </c>
      <c r="F11" s="58">
        <v>98.5</v>
      </c>
      <c r="G11" s="1525"/>
      <c r="H11" s="1525"/>
      <c r="I11" s="2036" t="s">
        <v>739</v>
      </c>
      <c r="J11" s="2037"/>
      <c r="K11" s="2037"/>
      <c r="L11" s="2038"/>
      <c r="M11"/>
      <c r="N11" s="674"/>
      <c r="P11" s="428" t="s">
        <v>353</v>
      </c>
      <c r="Q11" s="582" t="s">
        <v>15</v>
      </c>
      <c r="R11" s="436"/>
      <c r="S11" s="695"/>
    </row>
    <row r="12" spans="1:19" ht="15">
      <c r="A12" s="915">
        <f>margins!BF6</f>
        <v>6.5</v>
      </c>
      <c r="B12" s="915">
        <f>margins!BH6-margins!BI6</f>
        <v>97.343299999999971</v>
      </c>
      <c r="C12" s="915">
        <f>margins!BH6-margins!BI6</f>
        <v>97.343299999999971</v>
      </c>
      <c r="D12" s="916"/>
      <c r="E12" s="56" t="s">
        <v>96</v>
      </c>
      <c r="F12" s="58">
        <v>98.5</v>
      </c>
      <c r="G12" s="1525"/>
      <c r="H12" s="1525"/>
      <c r="I12" s="2036" t="s">
        <v>740</v>
      </c>
      <c r="J12" s="2037"/>
      <c r="K12" s="2037"/>
      <c r="L12" s="2038"/>
      <c r="M12"/>
      <c r="N12" s="674"/>
      <c r="P12" s="428" t="s">
        <v>200</v>
      </c>
      <c r="Q12" s="582" t="s">
        <v>111</v>
      </c>
      <c r="R12" s="436">
        <f>IFERROR(INDEX($G$20:$L$23,MATCH(Q12,$F$20:$F$23,0),MATCH($Q$11,$G$19:$L$19,0),1),0)</f>
        <v>0.875</v>
      </c>
      <c r="S12" s="695"/>
    </row>
    <row r="13" spans="1:19" ht="15">
      <c r="A13" s="915">
        <f>margins!BF7</f>
        <v>6.625</v>
      </c>
      <c r="B13" s="915">
        <f>margins!BH7-margins!BI7</f>
        <v>97.968299999999971</v>
      </c>
      <c r="C13" s="915">
        <f>margins!BH7-margins!BI7</f>
        <v>97.968299999999971</v>
      </c>
      <c r="D13" s="916"/>
      <c r="E13" s="56" t="s">
        <v>7</v>
      </c>
      <c r="F13" s="58">
        <v>98.5</v>
      </c>
      <c r="G13" s="1525"/>
      <c r="H13" s="1525"/>
      <c r="I13" s="1526" t="s">
        <v>741</v>
      </c>
      <c r="J13" s="1527"/>
      <c r="K13" s="1527"/>
      <c r="L13" s="1528"/>
      <c r="M13"/>
      <c r="N13" s="674"/>
      <c r="P13" s="428" t="s">
        <v>109</v>
      </c>
      <c r="Q13" s="582" t="s">
        <v>156</v>
      </c>
      <c r="R13" s="436">
        <f>IFERROR(INDEX($G$26:$L$27,MATCH(Q13,$F$26:$F$27,0),MATCH($Q$11,$G$25:$L$25,0),1),0)</f>
        <v>0.125</v>
      </c>
      <c r="S13" s="695"/>
    </row>
    <row r="14" spans="1:19" ht="15.75" thickBot="1">
      <c r="A14" s="915">
        <f>margins!BF8</f>
        <v>6.75</v>
      </c>
      <c r="B14" s="915">
        <f>margins!BH8-margins!BI8</f>
        <v>98.593299999999971</v>
      </c>
      <c r="C14" s="915">
        <f>margins!BH8-margins!BI8</f>
        <v>98.593299999999971</v>
      </c>
      <c r="D14" s="916"/>
      <c r="E14" s="56" t="s">
        <v>9</v>
      </c>
      <c r="F14" s="58" t="s">
        <v>14</v>
      </c>
      <c r="G14" s="1525"/>
      <c r="H14" s="1525"/>
      <c r="I14" s="2039" t="s">
        <v>638</v>
      </c>
      <c r="J14" s="2040"/>
      <c r="K14" s="2040"/>
      <c r="L14" s="2041"/>
      <c r="M14"/>
      <c r="N14" s="674"/>
      <c r="P14" s="428" t="s">
        <v>198</v>
      </c>
      <c r="Q14" s="582" t="s">
        <v>191</v>
      </c>
      <c r="R14" s="436">
        <f t="shared" ref="R14:R20" si="0">IFERROR(INDEX($G$31:$L$53,MATCH(Q14,$F$31:$F$53,0),MATCH($Q$11,$G$30:$L$30,0),1),0)</f>
        <v>0</v>
      </c>
      <c r="S14" s="695"/>
    </row>
    <row r="15" spans="1:19" ht="15" customHeight="1">
      <c r="A15" s="915">
        <f>margins!BF9</f>
        <v>6.875</v>
      </c>
      <c r="B15" s="915">
        <f>margins!BH9-margins!BI9</f>
        <v>98.968299999999971</v>
      </c>
      <c r="C15" s="915">
        <f>margins!BH9-margins!BI9</f>
        <v>98.968299999999971</v>
      </c>
      <c r="D15" s="916"/>
      <c r="E15" s="56" t="s">
        <v>11</v>
      </c>
      <c r="F15" s="58">
        <v>97</v>
      </c>
      <c r="G15" s="1525"/>
      <c r="H15" s="1525"/>
      <c r="I15" s="1525"/>
      <c r="J15" s="1524"/>
      <c r="K15" s="1524"/>
      <c r="L15" s="1523"/>
      <c r="M15" s="674"/>
      <c r="N15" s="674"/>
      <c r="P15" s="428" t="s">
        <v>279</v>
      </c>
      <c r="Q15" s="582" t="s">
        <v>191</v>
      </c>
      <c r="R15" s="436">
        <f t="shared" si="0"/>
        <v>0</v>
      </c>
      <c r="S15" s="695"/>
    </row>
    <row r="16" spans="1:19" ht="15.75" customHeight="1" thickBot="1">
      <c r="A16" s="915">
        <f>margins!BF10</f>
        <v>7</v>
      </c>
      <c r="B16" s="915">
        <f>margins!BH10-margins!BI10</f>
        <v>99.343299999999971</v>
      </c>
      <c r="C16" s="915">
        <f>margins!BH10-margins!BI10</f>
        <v>99.343299999999971</v>
      </c>
      <c r="D16" s="916"/>
      <c r="E16" s="59" t="s">
        <v>97</v>
      </c>
      <c r="F16" s="60">
        <v>97</v>
      </c>
      <c r="G16" s="1525"/>
      <c r="H16" s="1525"/>
      <c r="I16" s="1525"/>
      <c r="J16" s="1524"/>
      <c r="K16" s="1524"/>
      <c r="L16" s="1523"/>
      <c r="M16" s="674"/>
      <c r="N16" s="674"/>
      <c r="P16" s="428" t="s">
        <v>56</v>
      </c>
      <c r="Q16" s="582" t="s">
        <v>191</v>
      </c>
      <c r="R16" s="436">
        <f t="shared" si="0"/>
        <v>0</v>
      </c>
      <c r="S16" s="695"/>
    </row>
    <row r="17" spans="1:19" ht="15" customHeight="1" thickBot="1">
      <c r="A17" s="915">
        <f>margins!BF11</f>
        <v>7.125</v>
      </c>
      <c r="B17" s="915">
        <f>margins!BH11-margins!BI11</f>
        <v>99.723299999999966</v>
      </c>
      <c r="C17" s="915">
        <f>margins!BH11-margins!BI11</f>
        <v>99.723299999999966</v>
      </c>
      <c r="D17" s="924"/>
      <c r="E17" s="697"/>
      <c r="F17" s="697"/>
      <c r="G17" s="697"/>
      <c r="H17" s="697"/>
      <c r="I17" s="697"/>
      <c r="J17" s="697"/>
      <c r="K17" s="697"/>
      <c r="L17" s="697"/>
      <c r="P17" s="428" t="s">
        <v>308</v>
      </c>
      <c r="Q17" s="582" t="s">
        <v>191</v>
      </c>
      <c r="R17" s="436">
        <f t="shared" si="0"/>
        <v>0</v>
      </c>
      <c r="S17" s="695"/>
    </row>
    <row r="18" spans="1:19" ht="15" customHeight="1" thickBot="1">
      <c r="A18" s="915">
        <f>margins!BF12</f>
        <v>7.25</v>
      </c>
      <c r="B18" s="915">
        <f>margins!BH12-margins!BI12</f>
        <v>100.22329999999997</v>
      </c>
      <c r="C18" s="915">
        <f>margins!BH12-margins!BI12</f>
        <v>100.22329999999997</v>
      </c>
      <c r="D18" s="916"/>
      <c r="E18" s="2023" t="s">
        <v>424</v>
      </c>
      <c r="F18" s="2024"/>
      <c r="G18" s="2024"/>
      <c r="H18" s="2024"/>
      <c r="I18" s="2024"/>
      <c r="J18" s="2024"/>
      <c r="K18" s="2024"/>
      <c r="L18" s="2025"/>
      <c r="P18" s="428" t="s">
        <v>62</v>
      </c>
      <c r="Q18" s="582" t="s">
        <v>191</v>
      </c>
      <c r="R18" s="436">
        <f t="shared" si="0"/>
        <v>0</v>
      </c>
      <c r="S18" s="695"/>
    </row>
    <row r="19" spans="1:19" ht="15" customHeight="1" thickBot="1">
      <c r="A19" s="915">
        <f>margins!BF13</f>
        <v>7.375</v>
      </c>
      <c r="B19" s="915">
        <f>margins!BH13-margins!BI13</f>
        <v>100.59829999999997</v>
      </c>
      <c r="C19" s="915">
        <f>margins!BH13-margins!BI13</f>
        <v>100.59829999999997</v>
      </c>
      <c r="D19" s="916"/>
      <c r="E19" s="912"/>
      <c r="F19" s="705"/>
      <c r="G19" s="913" t="s">
        <v>15</v>
      </c>
      <c r="H19" s="913" t="s">
        <v>16</v>
      </c>
      <c r="I19" s="913" t="s">
        <v>17</v>
      </c>
      <c r="J19" s="913" t="s">
        <v>18</v>
      </c>
      <c r="K19" s="913" t="s">
        <v>19</v>
      </c>
      <c r="L19" s="914" t="s">
        <v>20</v>
      </c>
      <c r="M19" s="900"/>
      <c r="N19" s="900"/>
      <c r="P19" s="428" t="s">
        <v>628</v>
      </c>
      <c r="Q19" s="582" t="s">
        <v>191</v>
      </c>
      <c r="R19" s="436">
        <f t="shared" si="0"/>
        <v>0</v>
      </c>
      <c r="S19" s="695"/>
    </row>
    <row r="20" spans="1:19" ht="15">
      <c r="A20" s="915">
        <f>margins!BF14</f>
        <v>7.5</v>
      </c>
      <c r="B20" s="915">
        <f>margins!BH14-margins!BI14</f>
        <v>100.89829999999996</v>
      </c>
      <c r="C20" s="915">
        <f>margins!BH14-margins!BI14</f>
        <v>100.89829999999996</v>
      </c>
      <c r="D20" s="916"/>
      <c r="E20" s="2042" t="s">
        <v>623</v>
      </c>
      <c r="F20" s="917" t="s">
        <v>111</v>
      </c>
      <c r="G20" s="1612">
        <v>0.875</v>
      </c>
      <c r="H20" s="1612">
        <v>0.875</v>
      </c>
      <c r="I20" s="1612">
        <v>0.75</v>
      </c>
      <c r="J20" s="1612">
        <v>0.625</v>
      </c>
      <c r="K20" s="1612">
        <v>0.25</v>
      </c>
      <c r="L20" s="1614">
        <v>-0.375</v>
      </c>
      <c r="M20" s="884"/>
      <c r="N20" s="884"/>
      <c r="P20" s="428" t="s">
        <v>629</v>
      </c>
      <c r="Q20" s="582" t="s">
        <v>191</v>
      </c>
      <c r="R20" s="436">
        <f t="shared" si="0"/>
        <v>0</v>
      </c>
      <c r="S20" s="695"/>
    </row>
    <row r="21" spans="1:19" ht="15">
      <c r="A21" s="915">
        <f>margins!BF15</f>
        <v>7.625</v>
      </c>
      <c r="B21" s="915">
        <f>margins!BH15-margins!BI15</f>
        <v>101.19829999999996</v>
      </c>
      <c r="C21" s="915">
        <f>margins!BH15-margins!BI15</f>
        <v>101.19829999999996</v>
      </c>
      <c r="D21" s="916"/>
      <c r="E21" s="2043"/>
      <c r="F21" s="919" t="s">
        <v>292</v>
      </c>
      <c r="G21" s="1612">
        <v>0.75</v>
      </c>
      <c r="H21" s="1612">
        <v>0.75</v>
      </c>
      <c r="I21" s="1612">
        <v>0.625</v>
      </c>
      <c r="J21" s="1612">
        <v>0.375</v>
      </c>
      <c r="K21" s="1612">
        <v>0</v>
      </c>
      <c r="L21" s="1614">
        <v>-0.625</v>
      </c>
      <c r="P21" s="428" t="s">
        <v>554</v>
      </c>
      <c r="Q21" s="582" t="s">
        <v>191</v>
      </c>
      <c r="R21" s="436">
        <f>IFERROR(INDEX($G$31:$L$50,MATCH(Q21,$F$31:$F$50,0),MATCH($Q$11,$G$30:$L$30,0),1),0)</f>
        <v>0</v>
      </c>
      <c r="S21" s="695"/>
    </row>
    <row r="22" spans="1:19" ht="15">
      <c r="A22" s="915">
        <f>margins!BF16</f>
        <v>7.75</v>
      </c>
      <c r="B22" s="915">
        <f>margins!BH16-margins!BI16</f>
        <v>101.49829999999996</v>
      </c>
      <c r="C22" s="915">
        <f>margins!BH16-margins!BI16</f>
        <v>101.49829999999996</v>
      </c>
      <c r="D22" s="916"/>
      <c r="E22" s="2043"/>
      <c r="F22" s="919" t="s">
        <v>291</v>
      </c>
      <c r="G22" s="1612">
        <v>0.625</v>
      </c>
      <c r="H22" s="1612">
        <v>0.625</v>
      </c>
      <c r="I22" s="1612">
        <v>0.625</v>
      </c>
      <c r="J22" s="1612">
        <v>0.5</v>
      </c>
      <c r="K22" s="1612">
        <v>-0.375</v>
      </c>
      <c r="L22" s="1614">
        <v>-1</v>
      </c>
      <c r="P22" s="428" t="s">
        <v>204</v>
      </c>
      <c r="Q22" s="582" t="s">
        <v>191</v>
      </c>
      <c r="R22" s="436">
        <f>IFERROR(INDEX($G$51:$L$53,MATCH(Q22,$F$51:$F$53,0),MATCH($Q$11,$G$30:$L$30,0),1),0)</f>
        <v>0</v>
      </c>
      <c r="S22" s="695"/>
    </row>
    <row r="23" spans="1:19" ht="15" customHeight="1" thickBot="1">
      <c r="A23" s="915">
        <f>margins!BF17</f>
        <v>7.875</v>
      </c>
      <c r="B23" s="915">
        <f>margins!BH17-margins!BI17</f>
        <v>101.74829999999996</v>
      </c>
      <c r="C23" s="915">
        <f>margins!BH17-margins!BI17</f>
        <v>101.74829999999996</v>
      </c>
      <c r="D23" s="916"/>
      <c r="E23" s="2044"/>
      <c r="F23" s="921" t="s">
        <v>139</v>
      </c>
      <c r="G23" s="1620">
        <v>0.5</v>
      </c>
      <c r="H23" s="1620">
        <v>0.25</v>
      </c>
      <c r="I23" s="1620">
        <v>0</v>
      </c>
      <c r="J23" s="1620">
        <v>-0.625</v>
      </c>
      <c r="K23" s="1620">
        <v>-1.125</v>
      </c>
      <c r="L23" s="1621" t="s">
        <v>475</v>
      </c>
      <c r="P23" s="428" t="s">
        <v>205</v>
      </c>
      <c r="Q23" s="582" t="s">
        <v>191</v>
      </c>
      <c r="R23" s="436">
        <f>IF(OR(Q23=15, Q23="Choose a Selection"),0,IF(Q23=30,G8, 0))</f>
        <v>0</v>
      </c>
      <c r="S23" s="695"/>
    </row>
    <row r="24" spans="1:19" ht="15" customHeight="1" thickBot="1">
      <c r="A24" s="915">
        <f>margins!BF18</f>
        <v>8</v>
      </c>
      <c r="B24" s="915">
        <f>margins!BH18-margins!BI18</f>
        <v>101.99829999999996</v>
      </c>
      <c r="C24" s="915">
        <f>margins!BH18-margins!BI18</f>
        <v>101.99829999999996</v>
      </c>
      <c r="D24" s="916"/>
      <c r="E24"/>
      <c r="F24"/>
      <c r="G24" s="410"/>
      <c r="H24" s="410"/>
      <c r="I24" s="410"/>
      <c r="J24" s="410"/>
      <c r="K24" s="410"/>
      <c r="L24" s="410"/>
      <c r="M24" s="674"/>
      <c r="N24" s="674"/>
      <c r="P24" s="429" t="s">
        <v>206</v>
      </c>
      <c r="Q24" s="906"/>
      <c r="R24" s="437">
        <f>SUM(R12:R23)</f>
        <v>1</v>
      </c>
      <c r="S24" s="695"/>
    </row>
    <row r="25" spans="1:19" ht="15.75" thickBot="1">
      <c r="A25" s="915">
        <f>margins!BF19</f>
        <v>8.125</v>
      </c>
      <c r="B25" s="915">
        <f>margins!BH19-margins!BI19</f>
        <v>102.24829999999996</v>
      </c>
      <c r="C25" s="915">
        <f>margins!BH19-margins!BI19</f>
        <v>102.24829999999996</v>
      </c>
      <c r="D25" s="916"/>
      <c r="E25" s="912"/>
      <c r="F25" s="1220" t="s">
        <v>298</v>
      </c>
      <c r="G25" s="913" t="s">
        <v>15</v>
      </c>
      <c r="H25" s="913" t="s">
        <v>16</v>
      </c>
      <c r="I25" s="913" t="s">
        <v>17</v>
      </c>
      <c r="J25" s="913" t="s">
        <v>18</v>
      </c>
      <c r="K25" s="913" t="s">
        <v>19</v>
      </c>
      <c r="L25" s="914" t="s">
        <v>20</v>
      </c>
      <c r="M25" s="674"/>
      <c r="N25" s="674"/>
      <c r="P25" s="420"/>
      <c r="Q25" s="421"/>
      <c r="R25" s="430"/>
      <c r="S25" s="695"/>
    </row>
    <row r="26" spans="1:19" ht="15" customHeight="1" thickBot="1">
      <c r="A26" s="915">
        <f>margins!BF20</f>
        <v>8.25</v>
      </c>
      <c r="B26" s="915">
        <f>margins!BH20-margins!BI20</f>
        <v>102.44829999999996</v>
      </c>
      <c r="C26" s="915">
        <f>margins!BH20-margins!BI20</f>
        <v>102.44829999999996</v>
      </c>
      <c r="D26" s="916"/>
      <c r="E26" s="2021" t="s">
        <v>109</v>
      </c>
      <c r="F26" s="1223" t="s">
        <v>156</v>
      </c>
      <c r="G26" s="1613">
        <v>0.125</v>
      </c>
      <c r="H26" s="1613">
        <v>0.125</v>
      </c>
      <c r="I26" s="1613">
        <v>0.125</v>
      </c>
      <c r="J26" s="1613">
        <v>-0.125</v>
      </c>
      <c r="K26" s="1613">
        <v>-0.125</v>
      </c>
      <c r="L26" s="1632">
        <v>-0.125</v>
      </c>
      <c r="M26" s="674"/>
      <c r="N26" s="674"/>
      <c r="P26" s="422" t="s">
        <v>207</v>
      </c>
      <c r="Q26" s="423"/>
      <c r="R26" s="905" t="str">
        <f>IF(ISNUMBER(MATCH("NA", R12:R23, 0)), "NA",IF(Q18=$F$40, IF(Q22="Choose a Selection",MIN(R24+R10,VLOOKUP(Q21,$E$11:$F$16,2,FALSE)),MIN(R24+R10,VLOOKUP(Q22,$E$11:$F$16,2,FALSE))), "#N/A"))</f>
        <v>#N/A</v>
      </c>
      <c r="S26" s="695"/>
    </row>
    <row r="27" spans="1:19" ht="15" customHeight="1" thickBot="1">
      <c r="A27" s="915">
        <f>margins!BF21</f>
        <v>8.375</v>
      </c>
      <c r="B27" s="915">
        <f>margins!BH21-margins!BI21</f>
        <v>102.64829999999996</v>
      </c>
      <c r="C27" s="915">
        <f>margins!BH21-margins!BI21</f>
        <v>102.64829999999996</v>
      </c>
      <c r="D27" s="916"/>
      <c r="E27" s="2022"/>
      <c r="F27" s="1224" t="s">
        <v>624</v>
      </c>
      <c r="G27" s="1633">
        <v>0.375</v>
      </c>
      <c r="H27" s="1633">
        <v>0.375</v>
      </c>
      <c r="I27" s="1633">
        <v>0.375</v>
      </c>
      <c r="J27" s="1633">
        <v>0.375</v>
      </c>
      <c r="K27" s="1633">
        <v>0.375</v>
      </c>
      <c r="L27" s="1634">
        <v>0.375</v>
      </c>
      <c r="M27" s="674"/>
      <c r="N27" s="674"/>
      <c r="P27" s="417"/>
      <c r="Q27" s="417"/>
      <c r="R27" s="417"/>
      <c r="S27" s="695"/>
    </row>
    <row r="28" spans="1:19" ht="15" customHeight="1" thickBot="1">
      <c r="A28" s="915">
        <f>margins!BF22</f>
        <v>8.5</v>
      </c>
      <c r="B28" s="915">
        <f>margins!BH22-margins!BI22</f>
        <v>102.79829999999997</v>
      </c>
      <c r="C28" s="915">
        <f>margins!BH22-margins!BI22</f>
        <v>102.79829999999997</v>
      </c>
      <c r="D28" s="916"/>
      <c r="E28"/>
      <c r="F28"/>
      <c r="G28" s="410"/>
      <c r="H28" s="410"/>
      <c r="I28" s="410"/>
      <c r="J28" s="410"/>
      <c r="K28" s="410"/>
      <c r="L28" s="410"/>
      <c r="M28" s="674"/>
      <c r="N28" s="674"/>
      <c r="P28" s="746" t="s">
        <v>480</v>
      </c>
      <c r="Q28" s="747"/>
      <c r="R28" s="748"/>
      <c r="S28" s="695"/>
    </row>
    <row r="29" spans="1:19" ht="15" customHeight="1" thickBot="1">
      <c r="A29" s="915">
        <f>margins!BF23</f>
        <v>8.625</v>
      </c>
      <c r="B29" s="915">
        <f>margins!BH23-margins!BI23</f>
        <v>102.94829999999997</v>
      </c>
      <c r="C29" s="915">
        <f>margins!BH23-margins!BI23</f>
        <v>102.94829999999997</v>
      </c>
      <c r="D29" s="926"/>
      <c r="E29" s="2029" t="s">
        <v>398</v>
      </c>
      <c r="F29" s="2030"/>
      <c r="G29" s="2030"/>
      <c r="H29" s="2030"/>
      <c r="I29" s="2030"/>
      <c r="J29" s="2030"/>
      <c r="K29" s="2030"/>
      <c r="L29" s="2031"/>
      <c r="M29" s="674"/>
      <c r="N29" s="674"/>
      <c r="S29" s="695"/>
    </row>
    <row r="30" spans="1:19" ht="15" customHeight="1" thickBot="1">
      <c r="A30" s="915">
        <f>margins!BF24</f>
        <v>8.75</v>
      </c>
      <c r="B30" s="915">
        <f>margins!BH24-margins!BI24</f>
        <v>103.09829999999998</v>
      </c>
      <c r="C30" s="915">
        <f>margins!BH24-margins!BI24</f>
        <v>103.09829999999998</v>
      </c>
      <c r="D30" s="927"/>
      <c r="E30" s="1267"/>
      <c r="F30" s="892" t="s">
        <v>298</v>
      </c>
      <c r="G30" s="913" t="s">
        <v>15</v>
      </c>
      <c r="H30" s="913" t="s">
        <v>16</v>
      </c>
      <c r="I30" s="913" t="s">
        <v>17</v>
      </c>
      <c r="J30" s="913" t="s">
        <v>18</v>
      </c>
      <c r="K30" s="913" t="s">
        <v>19</v>
      </c>
      <c r="L30" s="914" t="s">
        <v>20</v>
      </c>
      <c r="M30" s="674"/>
      <c r="N30" s="674"/>
      <c r="S30" s="695"/>
    </row>
    <row r="31" spans="1:19" ht="15">
      <c r="A31" s="915">
        <f>margins!BF25</f>
        <v>8.875</v>
      </c>
      <c r="B31" s="915">
        <f>margins!BH25-margins!BI25</f>
        <v>103.22329999999998</v>
      </c>
      <c r="C31" s="915">
        <f>margins!BH25-margins!BI25</f>
        <v>103.22329999999998</v>
      </c>
      <c r="D31" s="927"/>
      <c r="E31" s="2021" t="s">
        <v>198</v>
      </c>
      <c r="F31" s="918" t="s">
        <v>625</v>
      </c>
      <c r="G31" s="1612">
        <v>-0.25</v>
      </c>
      <c r="H31" s="1612">
        <v>-0.25</v>
      </c>
      <c r="I31" s="1612">
        <v>-0.25</v>
      </c>
      <c r="J31" s="1612">
        <v>-0.625</v>
      </c>
      <c r="K31" s="1612">
        <v>-0.625</v>
      </c>
      <c r="L31" s="1614">
        <v>-0.625</v>
      </c>
      <c r="M31" s="674"/>
      <c r="N31" s="674"/>
      <c r="S31" s="695"/>
    </row>
    <row r="32" spans="1:19" ht="15" customHeight="1" thickBot="1">
      <c r="A32" s="915">
        <f>margins!BF26</f>
        <v>9</v>
      </c>
      <c r="B32" s="915">
        <f>margins!BH26-margins!BI26</f>
        <v>103.34829999999998</v>
      </c>
      <c r="C32" s="915">
        <f>margins!BH26-margins!BI26</f>
        <v>103.34829999999998</v>
      </c>
      <c r="D32" s="925"/>
      <c r="E32" s="2032"/>
      <c r="F32" s="1615" t="s">
        <v>626</v>
      </c>
      <c r="G32" s="1616">
        <v>-0.375</v>
      </c>
      <c r="H32" s="1616">
        <v>-0.375</v>
      </c>
      <c r="I32" s="1616">
        <v>-0.375</v>
      </c>
      <c r="J32" s="1616">
        <v>-0.75</v>
      </c>
      <c r="K32" s="1616">
        <v>-0.75</v>
      </c>
      <c r="L32" s="1617">
        <v>-0.5</v>
      </c>
      <c r="M32" s="674"/>
      <c r="N32" s="674"/>
      <c r="P32"/>
      <c r="Q32"/>
      <c r="R32"/>
      <c r="S32" s="695"/>
    </row>
    <row r="33" spans="1:21" ht="15">
      <c r="A33" s="915">
        <f>margins!BF27</f>
        <v>9.125</v>
      </c>
      <c r="B33" s="915">
        <f>margins!BH27-margins!BI27</f>
        <v>103.47329999999998</v>
      </c>
      <c r="C33" s="915">
        <f>margins!BH27-margins!BI27</f>
        <v>103.47329999999998</v>
      </c>
      <c r="D33" s="925"/>
      <c r="E33" s="2026" t="s">
        <v>279</v>
      </c>
      <c r="F33" s="1223" t="s">
        <v>545</v>
      </c>
      <c r="G33" s="1618">
        <v>0</v>
      </c>
      <c r="H33" s="1618">
        <v>0</v>
      </c>
      <c r="I33" s="1618">
        <v>0</v>
      </c>
      <c r="J33" s="1618">
        <v>0</v>
      </c>
      <c r="K33" s="1618">
        <v>0</v>
      </c>
      <c r="L33" s="1619">
        <v>0</v>
      </c>
      <c r="M33" s="674"/>
      <c r="N33" s="674"/>
      <c r="P33"/>
      <c r="Q33"/>
      <c r="R33"/>
      <c r="S33"/>
      <c r="T33"/>
      <c r="U33"/>
    </row>
    <row r="34" spans="1:21" ht="15">
      <c r="A34" s="915">
        <f>margins!BF28</f>
        <v>9.25</v>
      </c>
      <c r="B34" s="915">
        <f>margins!BH28-margins!BI28</f>
        <v>103.58329999999998</v>
      </c>
      <c r="C34" s="915">
        <f>margins!BH28-margins!BI28</f>
        <v>103.58329999999998</v>
      </c>
      <c r="D34" s="925"/>
      <c r="E34" s="2027"/>
      <c r="F34" s="1225" t="s">
        <v>546</v>
      </c>
      <c r="G34" s="1612">
        <v>-0.5</v>
      </c>
      <c r="H34" s="1612">
        <v>-0.5</v>
      </c>
      <c r="I34" s="1612">
        <v>-0.5</v>
      </c>
      <c r="J34" s="1612">
        <v>-0.5</v>
      </c>
      <c r="K34" s="1612">
        <v>-0.5</v>
      </c>
      <c r="L34" s="1614">
        <v>-0.875</v>
      </c>
      <c r="M34" s="674"/>
      <c r="N34" s="674"/>
      <c r="P34"/>
      <c r="Q34"/>
      <c r="R34"/>
      <c r="S34"/>
      <c r="T34"/>
      <c r="U34"/>
    </row>
    <row r="35" spans="1:21" ht="15">
      <c r="A35" s="915">
        <f>margins!BF29</f>
        <v>9.375</v>
      </c>
      <c r="B35" s="915">
        <f>margins!BH29-margins!BI29</f>
        <v>103.69329999999998</v>
      </c>
      <c r="C35" s="915">
        <f>margins!BH29-margins!BI29</f>
        <v>103.69329999999998</v>
      </c>
      <c r="D35" s="925"/>
      <c r="E35" s="2027"/>
      <c r="F35" s="1225" t="s">
        <v>547</v>
      </c>
      <c r="G35" s="1612">
        <v>-0.625</v>
      </c>
      <c r="H35" s="1612">
        <v>-0.625</v>
      </c>
      <c r="I35" s="1612">
        <v>-0.75</v>
      </c>
      <c r="J35" s="1612">
        <v>-0.875</v>
      </c>
      <c r="K35" s="1612">
        <v>-1</v>
      </c>
      <c r="L35" s="1614">
        <v>-10</v>
      </c>
      <c r="M35" s="674"/>
      <c r="N35" s="674"/>
      <c r="P35"/>
      <c r="Q35"/>
      <c r="R35"/>
      <c r="S35"/>
      <c r="T35"/>
      <c r="U35"/>
    </row>
    <row r="36" spans="1:21" ht="15.75" thickBot="1">
      <c r="A36" s="915">
        <f>margins!BF30</f>
        <v>9.5</v>
      </c>
      <c r="B36" s="915">
        <f>margins!BH30-margins!BI30</f>
        <v>103.79329999999997</v>
      </c>
      <c r="C36" s="915">
        <f>margins!BH30-margins!BI30</f>
        <v>103.79329999999997</v>
      </c>
      <c r="D36" s="925"/>
      <c r="E36" s="2028"/>
      <c r="F36" s="1224" t="s">
        <v>548</v>
      </c>
      <c r="G36" s="1620">
        <v>-1</v>
      </c>
      <c r="H36" s="1620">
        <v>-1</v>
      </c>
      <c r="I36" s="1620">
        <v>-1</v>
      </c>
      <c r="J36" s="1620">
        <v>-1.125</v>
      </c>
      <c r="K36" s="1620">
        <v>-1.25</v>
      </c>
      <c r="L36" s="1621">
        <v>-10</v>
      </c>
      <c r="M36" s="674"/>
      <c r="N36" s="674"/>
      <c r="P36"/>
      <c r="Q36"/>
      <c r="R36"/>
      <c r="S36"/>
      <c r="T36"/>
      <c r="U36"/>
    </row>
    <row r="37" spans="1:21" ht="15">
      <c r="A37" s="915">
        <f>margins!BF31</f>
        <v>9.625</v>
      </c>
      <c r="B37" s="915">
        <f>margins!BH31-margins!BI31</f>
        <v>103.89329999999997</v>
      </c>
      <c r="C37" s="915">
        <f>margins!BH31-margins!BI31</f>
        <v>103.89329999999997</v>
      </c>
      <c r="D37" s="925"/>
      <c r="E37" s="2018" t="s">
        <v>56</v>
      </c>
      <c r="F37" s="918" t="s">
        <v>551</v>
      </c>
      <c r="G37" s="1618">
        <v>0</v>
      </c>
      <c r="H37" s="1618">
        <v>0</v>
      </c>
      <c r="I37" s="1618">
        <v>0</v>
      </c>
      <c r="J37" s="1618">
        <v>0</v>
      </c>
      <c r="K37" s="1618">
        <v>0</v>
      </c>
      <c r="L37" s="1619">
        <v>0</v>
      </c>
      <c r="M37" s="674"/>
      <c r="N37" s="674"/>
      <c r="P37"/>
      <c r="Q37"/>
      <c r="R37"/>
      <c r="S37"/>
      <c r="T37"/>
      <c r="U37"/>
    </row>
    <row r="38" spans="1:21" ht="15.75" thickBot="1">
      <c r="A38" s="915">
        <f>margins!BF32</f>
        <v>9.75</v>
      </c>
      <c r="B38" s="915">
        <f>margins!BH32-margins!BI32</f>
        <v>103.99329999999996</v>
      </c>
      <c r="C38" s="915">
        <f>margins!BH32-margins!BI32</f>
        <v>103.99329999999996</v>
      </c>
      <c r="D38" s="925"/>
      <c r="E38" s="2019"/>
      <c r="F38" s="922" t="s">
        <v>269</v>
      </c>
      <c r="G38" s="1620">
        <v>-0.5</v>
      </c>
      <c r="H38" s="1620">
        <v>-0.5</v>
      </c>
      <c r="I38" s="1620">
        <v>-0.5</v>
      </c>
      <c r="J38" s="1620">
        <v>-0.75</v>
      </c>
      <c r="K38" s="1620">
        <v>-0.75</v>
      </c>
      <c r="L38" s="1621" t="s">
        <v>475</v>
      </c>
      <c r="M38" s="674"/>
      <c r="N38" s="674"/>
      <c r="P38"/>
      <c r="Q38"/>
      <c r="R38"/>
      <c r="S38"/>
      <c r="T38"/>
      <c r="U38"/>
    </row>
    <row r="39" spans="1:21" ht="15.75" thickBot="1">
      <c r="A39" s="915">
        <f>margins!BF33</f>
        <v>9.875</v>
      </c>
      <c r="B39" s="915">
        <f>margins!BH33-margins!BI33</f>
        <v>104.09329999999996</v>
      </c>
      <c r="C39" s="915">
        <f>margins!BH33-margins!BI33</f>
        <v>104.09329999999996</v>
      </c>
      <c r="D39" s="925"/>
      <c r="E39" s="1622" t="s">
        <v>308</v>
      </c>
      <c r="F39" s="1623" t="s">
        <v>627</v>
      </c>
      <c r="G39" s="1624">
        <v>-1.25</v>
      </c>
      <c r="H39" s="1624">
        <v>-1.375</v>
      </c>
      <c r="I39" s="1624">
        <v>-1.75</v>
      </c>
      <c r="J39" s="1624">
        <v>-1.875</v>
      </c>
      <c r="K39" s="1624">
        <v>-2.75</v>
      </c>
      <c r="L39" s="1625" t="s">
        <v>475</v>
      </c>
      <c r="M39" s="674"/>
      <c r="N39" s="674"/>
      <c r="P39"/>
      <c r="S39" s="695"/>
    </row>
    <row r="40" spans="1:21" ht="15" customHeight="1" thickBot="1">
      <c r="A40" s="915">
        <f>margins!BF35</f>
        <v>10.125</v>
      </c>
      <c r="B40" s="915">
        <f>margins!BH35-margins!BI35</f>
        <v>104.29329999999995</v>
      </c>
      <c r="C40" s="915">
        <f>margins!BH35-margins!BI35</f>
        <v>104.29329999999995</v>
      </c>
      <c r="D40" s="925"/>
      <c r="E40" s="1222" t="s">
        <v>62</v>
      </c>
      <c r="F40" s="1221" t="s">
        <v>659</v>
      </c>
      <c r="G40" s="1626">
        <v>-3.75</v>
      </c>
      <c r="H40" s="1626">
        <v>-3.875</v>
      </c>
      <c r="I40" s="1626">
        <v>-4.75</v>
      </c>
      <c r="J40" s="1626">
        <v>-5</v>
      </c>
      <c r="K40" s="1626">
        <v>-6.75</v>
      </c>
      <c r="L40" s="1627">
        <v>-7</v>
      </c>
      <c r="M40" s="674"/>
      <c r="N40" s="674"/>
      <c r="P40"/>
      <c r="Q40"/>
      <c r="R40"/>
      <c r="S40"/>
      <c r="T40"/>
      <c r="U40"/>
    </row>
    <row r="41" spans="1:21" ht="15">
      <c r="A41" s="915">
        <f>margins!BF36</f>
        <v>10.25</v>
      </c>
      <c r="B41" s="915">
        <f>margins!BH36-margins!BI36</f>
        <v>104.39329999999994</v>
      </c>
      <c r="C41" s="915">
        <f>margins!BH36-margins!BI36</f>
        <v>104.39329999999994</v>
      </c>
      <c r="D41" s="925"/>
      <c r="E41" s="2020" t="s">
        <v>628</v>
      </c>
      <c r="F41" s="920" t="s">
        <v>747</v>
      </c>
      <c r="G41" s="1628">
        <v>-0.625</v>
      </c>
      <c r="H41" s="1628">
        <v>-0.75</v>
      </c>
      <c r="I41" s="1628">
        <v>-0.875</v>
      </c>
      <c r="J41" s="1628">
        <v>-1.125</v>
      </c>
      <c r="K41" s="1628">
        <v>-1.5</v>
      </c>
      <c r="L41" s="1629" t="s">
        <v>475</v>
      </c>
      <c r="M41" s="674"/>
      <c r="N41" s="674"/>
      <c r="P41"/>
      <c r="Q41"/>
      <c r="R41"/>
    </row>
    <row r="42" spans="1:21" ht="15" customHeight="1" thickBot="1">
      <c r="A42" s="1219">
        <f>margins!BF37</f>
        <v>10.375</v>
      </c>
      <c r="B42" s="1219">
        <f>margins!BH37-margins!BI37</f>
        <v>104.49329999999993</v>
      </c>
      <c r="C42" s="1219">
        <f>margins!BH37-margins!BI37</f>
        <v>104.49329999999993</v>
      </c>
      <c r="D42" s="925"/>
      <c r="E42" s="2020"/>
      <c r="F42" s="1615" t="s">
        <v>549</v>
      </c>
      <c r="G42" s="1616">
        <v>-0.25</v>
      </c>
      <c r="H42" s="1616">
        <v>-0.375</v>
      </c>
      <c r="I42" s="1616">
        <v>-0.5</v>
      </c>
      <c r="J42" s="1616">
        <v>-0.625</v>
      </c>
      <c r="K42" s="1616">
        <v>-1</v>
      </c>
      <c r="L42" s="1617" t="s">
        <v>475</v>
      </c>
      <c r="M42" s="674"/>
      <c r="N42" s="674"/>
      <c r="P42"/>
      <c r="Q42"/>
      <c r="R42"/>
    </row>
    <row r="43" spans="1:21" ht="15">
      <c r="D43" s="925"/>
      <c r="E43" s="2018" t="s">
        <v>629</v>
      </c>
      <c r="F43" s="918" t="s">
        <v>664</v>
      </c>
      <c r="G43" s="1618">
        <v>-0.25</v>
      </c>
      <c r="H43" s="1618">
        <v>-0.25</v>
      </c>
      <c r="I43" s="1618">
        <v>-0.25</v>
      </c>
      <c r="J43" s="1618">
        <v>-0.25</v>
      </c>
      <c r="K43" s="1618">
        <v>-0.25</v>
      </c>
      <c r="L43" s="1619">
        <v>-0.25</v>
      </c>
      <c r="M43" s="674"/>
      <c r="N43" s="674"/>
      <c r="P43"/>
      <c r="Q43"/>
      <c r="R43"/>
    </row>
    <row r="44" spans="1:21" ht="15.75" thickBot="1">
      <c r="D44" s="925"/>
      <c r="E44" s="2019"/>
      <c r="F44" s="922" t="s">
        <v>665</v>
      </c>
      <c r="G44" s="1620">
        <v>0</v>
      </c>
      <c r="H44" s="1620">
        <v>-0.125</v>
      </c>
      <c r="I44" s="1620">
        <v>-0.125</v>
      </c>
      <c r="J44" s="1620">
        <v>-0.25</v>
      </c>
      <c r="K44" s="1620">
        <v>-0.25</v>
      </c>
      <c r="L44" s="1621">
        <v>-0.375</v>
      </c>
      <c r="M44" s="674"/>
      <c r="N44" s="674"/>
      <c r="P44"/>
      <c r="Q44"/>
      <c r="R44"/>
    </row>
    <row r="45" spans="1:21" ht="15">
      <c r="E45" s="1630"/>
      <c r="F45" s="1631" t="s">
        <v>95</v>
      </c>
      <c r="G45" s="1618">
        <v>1</v>
      </c>
      <c r="H45" s="1618">
        <v>1</v>
      </c>
      <c r="I45" s="1618">
        <v>1</v>
      </c>
      <c r="J45" s="1618">
        <v>1</v>
      </c>
      <c r="K45" s="1618">
        <v>1</v>
      </c>
      <c r="L45" s="1619">
        <v>1</v>
      </c>
      <c r="M45" s="674"/>
      <c r="N45" s="674"/>
      <c r="P45"/>
      <c r="Q45"/>
      <c r="R45"/>
    </row>
    <row r="46" spans="1:21" ht="15">
      <c r="E46" s="928"/>
      <c r="F46" s="1225" t="s">
        <v>96</v>
      </c>
      <c r="G46" s="1612">
        <v>0.625</v>
      </c>
      <c r="H46" s="1612">
        <v>0.625</v>
      </c>
      <c r="I46" s="1612">
        <v>0.625</v>
      </c>
      <c r="J46" s="1612">
        <v>0.625</v>
      </c>
      <c r="K46" s="1612">
        <v>0.625</v>
      </c>
      <c r="L46" s="1614">
        <v>0.625</v>
      </c>
      <c r="M46" s="674"/>
      <c r="N46" s="674"/>
      <c r="P46"/>
      <c r="Q46"/>
      <c r="R46"/>
    </row>
    <row r="47" spans="1:21" ht="15">
      <c r="E47" s="901" t="s">
        <v>137</v>
      </c>
      <c r="F47" s="1225" t="s">
        <v>7</v>
      </c>
      <c r="G47" s="1612">
        <v>0.25</v>
      </c>
      <c r="H47" s="1612">
        <v>0.25</v>
      </c>
      <c r="I47" s="1612">
        <v>0.25</v>
      </c>
      <c r="J47" s="1612">
        <v>0.25</v>
      </c>
      <c r="K47" s="1612">
        <v>0.25</v>
      </c>
      <c r="L47" s="1614">
        <v>0.25</v>
      </c>
      <c r="M47" s="674"/>
      <c r="N47" s="674"/>
    </row>
    <row r="48" spans="1:21" ht="15">
      <c r="E48" s="901" t="s">
        <v>552</v>
      </c>
      <c r="F48" s="1225" t="s">
        <v>9</v>
      </c>
      <c r="G48" s="1612" t="s">
        <v>475</v>
      </c>
      <c r="H48" s="1612" t="s">
        <v>475</v>
      </c>
      <c r="I48" s="1612" t="s">
        <v>475</v>
      </c>
      <c r="J48" s="1612" t="s">
        <v>475</v>
      </c>
      <c r="K48" s="1612" t="s">
        <v>475</v>
      </c>
      <c r="L48" s="1614" t="s">
        <v>475</v>
      </c>
      <c r="M48" s="674"/>
      <c r="N48" s="674"/>
    </row>
    <row r="49" spans="5:14" ht="15">
      <c r="E49" s="901"/>
      <c r="F49" s="1225" t="s">
        <v>11</v>
      </c>
      <c r="G49" s="1612">
        <v>-0.875</v>
      </c>
      <c r="H49" s="1612">
        <v>-0.875</v>
      </c>
      <c r="I49" s="1612">
        <v>-0.875</v>
      </c>
      <c r="J49" s="1612">
        <v>-0.875</v>
      </c>
      <c r="K49" s="1612">
        <v>-0.875</v>
      </c>
      <c r="L49" s="1614">
        <v>-0.875</v>
      </c>
      <c r="M49" s="674"/>
      <c r="N49" s="674"/>
    </row>
    <row r="50" spans="5:14" ht="15.75" thickBot="1">
      <c r="E50" s="902"/>
      <c r="F50" s="1224" t="s">
        <v>97</v>
      </c>
      <c r="G50" s="1620">
        <v>-2</v>
      </c>
      <c r="H50" s="1620">
        <v>-2</v>
      </c>
      <c r="I50" s="1620">
        <v>-2</v>
      </c>
      <c r="J50" s="1620">
        <v>-2</v>
      </c>
      <c r="K50" s="1620">
        <v>-2</v>
      </c>
      <c r="L50" s="1621">
        <v>-2</v>
      </c>
      <c r="M50" s="674"/>
      <c r="N50" s="674"/>
    </row>
    <row r="51" spans="5:14" ht="15">
      <c r="E51" s="903" t="s">
        <v>441</v>
      </c>
      <c r="F51" s="1223" t="s">
        <v>7</v>
      </c>
      <c r="G51" s="1618">
        <v>-0.5</v>
      </c>
      <c r="H51" s="1618">
        <v>-0.5</v>
      </c>
      <c r="I51" s="1618">
        <v>-0.5</v>
      </c>
      <c r="J51" s="1618">
        <v>-0.5</v>
      </c>
      <c r="K51" s="1618">
        <v>-0.5</v>
      </c>
      <c r="L51" s="1619">
        <v>-0.5</v>
      </c>
      <c r="M51" s="674"/>
      <c r="N51" s="674"/>
    </row>
    <row r="52" spans="5:14" ht="15">
      <c r="E52" s="929" t="s">
        <v>630</v>
      </c>
      <c r="F52" s="1225" t="s">
        <v>96</v>
      </c>
      <c r="G52" s="1612">
        <v>-0.375</v>
      </c>
      <c r="H52" s="1612">
        <v>-0.375</v>
      </c>
      <c r="I52" s="1612">
        <v>-0.375</v>
      </c>
      <c r="J52" s="1612">
        <v>-0.375</v>
      </c>
      <c r="K52" s="1612">
        <v>-0.375</v>
      </c>
      <c r="L52" s="1614">
        <v>-0.375</v>
      </c>
      <c r="M52" s="674"/>
      <c r="N52" s="674"/>
    </row>
    <row r="53" spans="5:14" ht="15.75" thickBot="1">
      <c r="E53" s="930"/>
      <c r="F53" s="1226" t="s">
        <v>95</v>
      </c>
      <c r="G53" s="1620">
        <v>-0.25</v>
      </c>
      <c r="H53" s="1620">
        <v>-0.25</v>
      </c>
      <c r="I53" s="1620">
        <v>-0.25</v>
      </c>
      <c r="J53" s="1620">
        <v>-0.25</v>
      </c>
      <c r="K53" s="1620">
        <v>-0.25</v>
      </c>
      <c r="L53" s="1621">
        <v>-0.25</v>
      </c>
      <c r="M53" s="674"/>
      <c r="N53" s="674"/>
    </row>
    <row r="54" spans="5:14">
      <c r="E54" s="1479"/>
      <c r="F54" s="1480"/>
      <c r="G54" s="1481"/>
      <c r="H54" s="1481"/>
      <c r="I54" s="1481"/>
      <c r="J54" s="1481"/>
      <c r="K54" s="1481"/>
      <c r="L54" s="1481"/>
      <c r="M54" s="674"/>
      <c r="N54" s="674"/>
    </row>
    <row r="55" spans="5:14">
      <c r="E55" s="925"/>
      <c r="F55" s="925"/>
      <c r="G55" s="925"/>
      <c r="H55" s="925"/>
      <c r="I55" s="925"/>
      <c r="J55" s="925"/>
      <c r="K55" s="925"/>
      <c r="L55" s="925"/>
      <c r="M55" s="674"/>
      <c r="N55" s="674"/>
    </row>
    <row r="58" spans="5:14">
      <c r="F58" s="882"/>
      <c r="G58" s="674"/>
      <c r="H58" s="674"/>
      <c r="I58" s="674"/>
      <c r="J58" s="674"/>
      <c r="K58" s="674"/>
      <c r="L58" s="674"/>
    </row>
    <row r="59" spans="5:14">
      <c r="F59" s="882"/>
      <c r="G59" s="674"/>
      <c r="H59" s="674"/>
      <c r="I59" s="674"/>
      <c r="J59" s="674"/>
      <c r="K59" s="674"/>
      <c r="L59" s="674"/>
    </row>
    <row r="60" spans="5:14">
      <c r="F60" s="882"/>
      <c r="G60" s="674"/>
      <c r="H60" s="674"/>
      <c r="I60" s="674"/>
      <c r="J60" s="674"/>
      <c r="K60" s="674"/>
      <c r="L60" s="674"/>
    </row>
    <row r="61" spans="5:14" ht="15.75" customHeight="1">
      <c r="F61" s="882"/>
      <c r="G61" s="674"/>
      <c r="H61" s="674"/>
      <c r="I61" s="674"/>
      <c r="J61" s="674"/>
      <c r="K61" s="674"/>
      <c r="L61" s="674"/>
    </row>
    <row r="62" spans="5:14">
      <c r="F62" s="882"/>
      <c r="G62" s="674"/>
      <c r="H62" s="674"/>
      <c r="I62" s="674"/>
      <c r="J62" s="674"/>
      <c r="K62" s="674"/>
      <c r="L62" s="674"/>
    </row>
    <row r="63" spans="5:14">
      <c r="F63" s="882"/>
      <c r="G63" s="674"/>
      <c r="H63" s="674"/>
      <c r="I63" s="674"/>
      <c r="J63" s="674"/>
      <c r="K63" s="674"/>
      <c r="L63" s="674"/>
    </row>
    <row r="64" spans="5:14">
      <c r="F64" s="882"/>
      <c r="G64" s="674"/>
      <c r="H64" s="674"/>
      <c r="I64" s="674"/>
      <c r="J64" s="674"/>
      <c r="K64" s="674"/>
      <c r="L64" s="674"/>
    </row>
    <row r="65" spans="6:12">
      <c r="F65" s="882"/>
      <c r="G65" s="674"/>
      <c r="H65" s="674"/>
      <c r="I65" s="674"/>
      <c r="J65" s="674"/>
      <c r="K65" s="674"/>
      <c r="L65" s="674"/>
    </row>
    <row r="66" spans="6:12">
      <c r="F66" s="882"/>
      <c r="G66" s="674"/>
      <c r="H66" s="674"/>
      <c r="I66" s="674"/>
      <c r="J66" s="674"/>
      <c r="K66" s="674"/>
      <c r="L66" s="674"/>
    </row>
  </sheetData>
  <mergeCells count="15">
    <mergeCell ref="E43:E44"/>
    <mergeCell ref="E41:E42"/>
    <mergeCell ref="E26:E27"/>
    <mergeCell ref="C2:L2"/>
    <mergeCell ref="A7:C7"/>
    <mergeCell ref="E18:L18"/>
    <mergeCell ref="E37:E38"/>
    <mergeCell ref="E33:E36"/>
    <mergeCell ref="E29:L29"/>
    <mergeCell ref="E31:E32"/>
    <mergeCell ref="I10:L10"/>
    <mergeCell ref="I11:L11"/>
    <mergeCell ref="I12:L12"/>
    <mergeCell ref="I14:L14"/>
    <mergeCell ref="E20:E23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38A68EB-3D32-48D1-AB0C-46ACC35C35DE}">
          <x14:formula1>
            <xm:f>margins!$AW$128:$AW$130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margins!$AW$133:$AW$137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margins!$AW$139:$AW$141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margins!$AW$143:$AW$144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margins!$AW$146:$AW$147</xm:f>
          </x14:formula1>
          <xm:sqref>Q18</xm:sqref>
        </x14:dataValidation>
        <x14:dataValidation type="list" allowBlank="1" showInputMessage="1" showErrorMessage="1" xr:uid="{E2980848-AD52-4A31-8FDB-398B7EE3A4E6}">
          <x14:formula1>
            <xm:f>margins!$AW$180:$AW$182</xm:f>
          </x14:formula1>
          <xm:sqref>Q23</xm:sqref>
        </x14:dataValidation>
        <x14:dataValidation type="list" allowBlank="1" showInputMessage="1" showErrorMessage="1" xr:uid="{CB802A75-F652-4DFA-AAC1-A04AC8FE878D}">
          <x14:formula1>
            <xm:f>margins!$AW$153:$AW$154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margins!$AW$165:$AW$168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margins!$AW$157:$AW$163</xm:f>
          </x14:formula1>
          <xm:sqref>Q21</xm:sqref>
        </x14:dataValidation>
        <x14:dataValidation type="list" allowBlank="1" showInputMessage="1" showErrorMessage="1" xr:uid="{72365366-6B7A-4BCD-9EF8-2351F8CE1BD1}">
          <x14:formula1>
            <xm:f>margins!$AW$149:$AW$151</xm:f>
          </x14:formula1>
          <xm:sqref>Q19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18.28515625" style="936" customWidth="1"/>
    <col min="3" max="3" width="27.7109375" style="936" customWidth="1"/>
    <col min="4" max="4" width="13.140625" style="936" customWidth="1"/>
    <col min="5" max="5" width="13.85546875" style="936" customWidth="1"/>
    <col min="6" max="6" width="13.7109375" style="936" customWidth="1"/>
    <col min="7" max="7" width="19.7109375" style="936" bestFit="1" customWidth="1"/>
    <col min="8" max="8" width="23.5703125" style="936" customWidth="1"/>
    <col min="9" max="9" width="13.7109375" style="936" customWidth="1"/>
    <col min="10" max="10" width="16.5703125" style="936" customWidth="1"/>
    <col min="11" max="11" width="16.140625" style="936" bestFit="1" customWidth="1"/>
    <col min="12" max="12" width="2" style="936" customWidth="1"/>
    <col min="13" max="13" width="9.140625" style="935"/>
    <col min="14" max="16" width="19.7109375" style="935" customWidth="1"/>
    <col min="17" max="16384" width="9.140625" style="935"/>
  </cols>
  <sheetData>
    <row r="1" spans="1:16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1147"/>
    </row>
    <row r="2" spans="1:16" s="936" customFormat="1">
      <c r="A2" s="1082"/>
      <c r="B2" s="941"/>
      <c r="C2" s="941"/>
      <c r="D2" s="941"/>
      <c r="E2" s="941"/>
      <c r="F2" s="941"/>
      <c r="G2" s="941"/>
      <c r="H2" s="941"/>
      <c r="I2" s="937" t="s">
        <v>329</v>
      </c>
      <c r="J2" s="1747">
        <f ca="1">NOW()</f>
        <v>46223.360261689813</v>
      </c>
      <c r="K2" s="1747"/>
      <c r="L2" s="1079"/>
    </row>
    <row r="3" spans="1:16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1746" t="s">
        <v>601</v>
      </c>
      <c r="K3" s="1746"/>
      <c r="L3" s="1079"/>
    </row>
    <row r="4" spans="1:16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1301"/>
      <c r="K4" s="1301"/>
      <c r="L4" s="1079"/>
    </row>
    <row r="5" spans="1:16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1325"/>
      <c r="K5" s="1301" t="s">
        <v>171</v>
      </c>
      <c r="L5" s="1079"/>
    </row>
    <row r="6" spans="1:16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1079"/>
    </row>
    <row r="7" spans="1:16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1079"/>
    </row>
    <row r="8" spans="1:16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1146"/>
    </row>
    <row r="9" spans="1:16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45"/>
    </row>
    <row r="10" spans="1:16" s="936" customFormat="1" ht="14.25" customHeight="1">
      <c r="A10" s="1748" t="s">
        <v>620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50"/>
      <c r="N10" s="1715" t="s">
        <v>435</v>
      </c>
      <c r="O10" s="1716"/>
      <c r="P10" s="1716"/>
    </row>
    <row r="11" spans="1:16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3"/>
      <c r="N11" s="418"/>
      <c r="O11" s="418"/>
      <c r="P11" s="418"/>
    </row>
    <row r="12" spans="1:16" s="936" customFormat="1" ht="15.75" thickBot="1">
      <c r="A12" s="1366"/>
      <c r="B12" s="1128"/>
      <c r="C12" s="2049" t="s">
        <v>438</v>
      </c>
      <c r="D12" s="2050"/>
      <c r="E12" s="1128"/>
      <c r="F12" s="1367"/>
      <c r="G12" s="1128"/>
      <c r="H12" s="1128"/>
      <c r="I12" s="1128"/>
      <c r="J12" s="1128"/>
      <c r="K12" s="1128"/>
      <c r="L12" s="1145"/>
      <c r="N12" s="1112" t="s">
        <v>195</v>
      </c>
      <c r="O12" s="1112" t="s">
        <v>196</v>
      </c>
      <c r="P12" s="1112" t="s">
        <v>197</v>
      </c>
    </row>
    <row r="13" spans="1:16" s="936" customFormat="1" ht="15.75" thickBot="1">
      <c r="A13" s="1129"/>
      <c r="B13" s="1164" t="s">
        <v>211</v>
      </c>
      <c r="C13" s="1353" t="s">
        <v>539</v>
      </c>
      <c r="D13" s="1354" t="s">
        <v>387</v>
      </c>
      <c r="E13" s="937"/>
      <c r="F13" s="1081" t="s">
        <v>599</v>
      </c>
      <c r="G13" s="1080"/>
      <c r="H13" s="1080"/>
      <c r="I13" s="941"/>
      <c r="J13" s="1081" t="s">
        <v>598</v>
      </c>
      <c r="K13" s="1"/>
      <c r="L13" s="1079"/>
      <c r="N13" s="418"/>
      <c r="O13" s="418"/>
      <c r="P13" s="418"/>
    </row>
    <row r="14" spans="1:16" s="936" customFormat="1" ht="15.75" thickBot="1">
      <c r="A14" s="1129"/>
      <c r="B14" s="1121">
        <f>margins!BF3</f>
        <v>6.125</v>
      </c>
      <c r="C14" s="1368">
        <f>margins!BH3-margins!BI3</f>
        <v>95.093299999999971</v>
      </c>
      <c r="D14" s="1369">
        <f>margins!BH3-margins!BI3</f>
        <v>95.093299999999971</v>
      </c>
      <c r="E14" s="1214"/>
      <c r="F14" s="1192" t="s">
        <v>94</v>
      </c>
      <c r="G14" s="1283" t="s">
        <v>670</v>
      </c>
      <c r="H14" s="1381" t="s">
        <v>671</v>
      </c>
      <c r="I14" s="941"/>
      <c r="J14" s="1292" t="s">
        <v>610</v>
      </c>
      <c r="K14" s="1376">
        <v>0</v>
      </c>
      <c r="L14" s="1079"/>
      <c r="N14" s="427" t="s">
        <v>198</v>
      </c>
      <c r="O14" s="580" t="s">
        <v>387</v>
      </c>
      <c r="P14" s="630"/>
    </row>
    <row r="15" spans="1:16" s="936" customFormat="1" ht="15.75" thickBot="1">
      <c r="A15" s="1129"/>
      <c r="B15" s="1121">
        <f>margins!BF4</f>
        <v>6.25</v>
      </c>
      <c r="C15" s="1322">
        <f>margins!BH4-margins!BI4</f>
        <v>95.843299999999971</v>
      </c>
      <c r="D15" s="1324">
        <f>margins!BH4-margins!BI4</f>
        <v>95.843299999999971</v>
      </c>
      <c r="E15" s="1214"/>
      <c r="F15" s="1378" t="s">
        <v>95</v>
      </c>
      <c r="G15" s="1379">
        <v>98.5</v>
      </c>
      <c r="H15" s="1380">
        <v>97.5</v>
      </c>
      <c r="I15" s="941"/>
      <c r="J15" s="1377" t="s">
        <v>597</v>
      </c>
      <c r="K15" s="1122">
        <v>-0.375</v>
      </c>
      <c r="L15" s="1079"/>
      <c r="N15" s="428" t="s">
        <v>199</v>
      </c>
      <c r="O15" s="582">
        <v>10.999000000000001</v>
      </c>
      <c r="P15" s="436" t="e">
        <f>IF(O14="30 Yr Fixed",VLOOKUP(O15,$A$8:$C$45,3,FALSE),VLOOKUP(O15,$A$8:$C$45,2,FALSE))</f>
        <v>#N/A</v>
      </c>
    </row>
    <row r="16" spans="1:16" s="936" customFormat="1">
      <c r="A16" s="1129"/>
      <c r="B16" s="1121">
        <f>margins!BF5</f>
        <v>6.375</v>
      </c>
      <c r="C16" s="1322">
        <f>margins!BH5-margins!BI5</f>
        <v>96.593299999999971</v>
      </c>
      <c r="D16" s="1324">
        <f>margins!BH5-margins!BI5</f>
        <v>96.593299999999971</v>
      </c>
      <c r="E16" s="1214"/>
      <c r="F16" s="1374" t="s">
        <v>96</v>
      </c>
      <c r="G16" s="1372">
        <v>98.5</v>
      </c>
      <c r="H16" s="1134">
        <v>97.5</v>
      </c>
      <c r="I16" s="941"/>
      <c r="L16" s="1079"/>
      <c r="N16" s="428" t="s">
        <v>353</v>
      </c>
      <c r="O16" s="582" t="s">
        <v>18</v>
      </c>
      <c r="P16" s="436"/>
    </row>
    <row r="17" spans="1:16" s="936" customFormat="1">
      <c r="A17" s="1129"/>
      <c r="B17" s="1121">
        <f>margins!BF6</f>
        <v>6.5</v>
      </c>
      <c r="C17" s="1322">
        <f>margins!BH6-margins!BI6</f>
        <v>97.343299999999971</v>
      </c>
      <c r="D17" s="1324">
        <f>margins!BH6-margins!BI6</f>
        <v>97.343299999999971</v>
      </c>
      <c r="E17" s="1214"/>
      <c r="F17" s="1374" t="s">
        <v>7</v>
      </c>
      <c r="G17" s="1372">
        <v>98.5</v>
      </c>
      <c r="H17" s="1134">
        <v>97.5</v>
      </c>
      <c r="I17" s="941"/>
      <c r="J17"/>
      <c r="K17"/>
      <c r="L17" s="1079"/>
      <c r="N17" s="428" t="s">
        <v>200</v>
      </c>
      <c r="O17" s="582" t="s">
        <v>111</v>
      </c>
      <c r="P17" s="436">
        <f>IFERROR(INDEX($G$20:$I$23,MATCH(O17,$F$20:$F$22,0),MATCH($N$11,$G$19:$I$19,0),1),0)</f>
        <v>0</v>
      </c>
    </row>
    <row r="18" spans="1:16" s="936" customFormat="1">
      <c r="A18" s="1129"/>
      <c r="B18" s="1121">
        <f>margins!BF7</f>
        <v>6.625</v>
      </c>
      <c r="C18" s="1322">
        <f>margins!BH7-margins!BI7</f>
        <v>97.968299999999971</v>
      </c>
      <c r="D18" s="1324">
        <f>margins!BH7-margins!BI7</f>
        <v>97.968299999999971</v>
      </c>
      <c r="E18" s="1214"/>
      <c r="F18" s="1374" t="s">
        <v>9</v>
      </c>
      <c r="G18" s="1372" t="s">
        <v>14</v>
      </c>
      <c r="H18" s="1134" t="s">
        <v>14</v>
      </c>
      <c r="I18" s="941"/>
      <c r="L18" s="1079"/>
      <c r="N18" s="428" t="s">
        <v>109</v>
      </c>
      <c r="O18" s="582" t="s">
        <v>156</v>
      </c>
      <c r="P18" s="436">
        <f>IFERROR(INDEX($I$27:$K$31,MATCH(O18,#REF!,0),MATCH($N$11,$I$25:$I$25,0),1),0)</f>
        <v>0</v>
      </c>
    </row>
    <row r="19" spans="1:16" s="936" customFormat="1">
      <c r="A19" s="1129"/>
      <c r="B19" s="1121">
        <f>margins!BF8</f>
        <v>6.75</v>
      </c>
      <c r="C19" s="1322">
        <f>margins!BH8-margins!BI8</f>
        <v>98.593299999999971</v>
      </c>
      <c r="D19" s="1324">
        <f>margins!BH8-margins!BI8</f>
        <v>98.593299999999971</v>
      </c>
      <c r="E19" s="1214"/>
      <c r="F19" s="1374" t="s">
        <v>11</v>
      </c>
      <c r="G19" s="1372">
        <v>97</v>
      </c>
      <c r="H19" s="1134">
        <v>97.5</v>
      </c>
      <c r="I19" s="941"/>
      <c r="L19" s="1079"/>
      <c r="N19" s="428" t="s">
        <v>198</v>
      </c>
      <c r="O19" s="582" t="s">
        <v>191</v>
      </c>
      <c r="P19" s="436">
        <f t="shared" ref="P19:P25" si="0">IFERROR(INDEX($G$31:$K$53,MATCH(O19,$F$32:$F$53,0),MATCH($N$11,$I$30:$K$30,0),1),0)</f>
        <v>0</v>
      </c>
    </row>
    <row r="20" spans="1:16" s="936" customFormat="1" ht="15.75" thickBot="1">
      <c r="A20" s="1129"/>
      <c r="B20" s="1121">
        <f>margins!BF9</f>
        <v>6.875</v>
      </c>
      <c r="C20" s="1322">
        <f>margins!BH9-margins!BI9</f>
        <v>98.968299999999971</v>
      </c>
      <c r="D20" s="1324">
        <f>margins!BH9-margins!BI9</f>
        <v>98.968299999999971</v>
      </c>
      <c r="E20" s="1214"/>
      <c r="F20" s="1375" t="s">
        <v>97</v>
      </c>
      <c r="G20" s="1373">
        <v>97</v>
      </c>
      <c r="H20" s="1133">
        <v>97</v>
      </c>
      <c r="I20" s="941"/>
      <c r="L20" s="1079"/>
      <c r="N20" s="428" t="s">
        <v>279</v>
      </c>
      <c r="O20" s="582" t="s">
        <v>191</v>
      </c>
      <c r="P20" s="436">
        <f t="shared" si="0"/>
        <v>0</v>
      </c>
    </row>
    <row r="21" spans="1:16" s="936" customFormat="1">
      <c r="A21" s="1129"/>
      <c r="B21" s="1121">
        <f>margins!BF10</f>
        <v>7</v>
      </c>
      <c r="C21" s="1322">
        <f>margins!BH10-margins!BI10</f>
        <v>99.343299999999971</v>
      </c>
      <c r="D21" s="1324">
        <f>margins!BH10-margins!BI10</f>
        <v>99.343299999999971</v>
      </c>
      <c r="E21" s="1214"/>
      <c r="F21" s="1130"/>
      <c r="G21" s="1130"/>
      <c r="H21" s="1084"/>
      <c r="I21" s="941"/>
      <c r="L21" s="1079"/>
      <c r="N21" s="428" t="s">
        <v>56</v>
      </c>
      <c r="O21" s="582" t="s">
        <v>191</v>
      </c>
      <c r="P21" s="436">
        <f t="shared" si="0"/>
        <v>0</v>
      </c>
    </row>
    <row r="22" spans="1:16" s="936" customFormat="1">
      <c r="A22" s="1129"/>
      <c r="B22" s="1121">
        <f>margins!BF11</f>
        <v>7.125</v>
      </c>
      <c r="C22" s="1322">
        <f>margins!BH11-margins!BI11</f>
        <v>99.723299999999966</v>
      </c>
      <c r="D22" s="1324">
        <f>margins!BH11-margins!BI11</f>
        <v>99.723299999999966</v>
      </c>
      <c r="E22" s="1214"/>
      <c r="F22" s="1080"/>
      <c r="G22" s="1080"/>
      <c r="I22" s="1081"/>
      <c r="L22" s="1079"/>
      <c r="N22" s="428" t="s">
        <v>308</v>
      </c>
      <c r="O22" s="582" t="s">
        <v>191</v>
      </c>
      <c r="P22" s="436">
        <f t="shared" si="0"/>
        <v>0</v>
      </c>
    </row>
    <row r="23" spans="1:16" s="936" customFormat="1" ht="15.75" thickBot="1">
      <c r="A23" s="1082"/>
      <c r="B23" s="1121">
        <f>margins!BF12</f>
        <v>7.25</v>
      </c>
      <c r="C23" s="1322">
        <f>margins!BH12-margins!BI12</f>
        <v>100.22329999999997</v>
      </c>
      <c r="D23" s="1324">
        <f>margins!BH12-margins!BI12</f>
        <v>100.22329999999997</v>
      </c>
      <c r="E23" s="1214"/>
      <c r="F23" s="1081" t="s">
        <v>594</v>
      </c>
      <c r="G23" s="1080"/>
      <c r="H23" s="1080"/>
      <c r="I23" s="1081"/>
      <c r="L23" s="1079"/>
      <c r="N23" s="428" t="s">
        <v>62</v>
      </c>
      <c r="O23" s="582" t="s">
        <v>191</v>
      </c>
      <c r="P23" s="436">
        <f t="shared" si="0"/>
        <v>0</v>
      </c>
    </row>
    <row r="24" spans="1:16" s="936" customFormat="1" ht="14.25" customHeight="1">
      <c r="A24" s="1082"/>
      <c r="B24" s="1121">
        <f>margins!BF13</f>
        <v>7.375</v>
      </c>
      <c r="C24" s="1322">
        <f>margins!BH13-margins!BI13</f>
        <v>100.59829999999997</v>
      </c>
      <c r="D24" s="1324">
        <f>margins!BH13-margins!BI13</f>
        <v>100.59829999999997</v>
      </c>
      <c r="E24" s="1214"/>
      <c r="F24" s="1825" t="s">
        <v>141</v>
      </c>
      <c r="G24" s="1826"/>
      <c r="H24" s="1827"/>
      <c r="I24" s="1081"/>
      <c r="L24" s="1079"/>
      <c r="N24" s="428" t="s">
        <v>628</v>
      </c>
      <c r="O24" s="582" t="s">
        <v>191</v>
      </c>
      <c r="P24" s="436">
        <f t="shared" si="0"/>
        <v>0</v>
      </c>
    </row>
    <row r="25" spans="1:16" s="936" customFormat="1">
      <c r="A25" s="1082"/>
      <c r="B25" s="1121">
        <f>margins!BF14</f>
        <v>7.5</v>
      </c>
      <c r="C25" s="1322">
        <f>margins!BH14-margins!BI14</f>
        <v>100.89829999999996</v>
      </c>
      <c r="D25" s="1324">
        <f>margins!BH14-margins!BI14</f>
        <v>100.89829999999996</v>
      </c>
      <c r="E25" s="1214"/>
      <c r="F25" s="1828"/>
      <c r="G25" s="1829"/>
      <c r="H25" s="1830"/>
      <c r="L25" s="1079"/>
      <c r="N25" s="428" t="s">
        <v>629</v>
      </c>
      <c r="O25" s="582" t="s">
        <v>191</v>
      </c>
      <c r="P25" s="436">
        <f t="shared" si="0"/>
        <v>0</v>
      </c>
    </row>
    <row r="26" spans="1:16" s="936" customFormat="1" ht="14.25" customHeight="1">
      <c r="A26" s="1082"/>
      <c r="B26" s="1121">
        <f>margins!BF15</f>
        <v>7.625</v>
      </c>
      <c r="C26" s="1322">
        <f>margins!BH15-margins!BI15</f>
        <v>101.19829999999996</v>
      </c>
      <c r="D26" s="1324">
        <f>margins!BH15-margins!BI15</f>
        <v>101.19829999999996</v>
      </c>
      <c r="E26" s="1214"/>
      <c r="F26" s="1828" t="s">
        <v>687</v>
      </c>
      <c r="G26" s="1829"/>
      <c r="H26" s="1830"/>
      <c r="L26" s="1079"/>
      <c r="N26" s="428" t="s">
        <v>554</v>
      </c>
      <c r="O26" s="582" t="s">
        <v>191</v>
      </c>
      <c r="P26" s="436">
        <f>IFERROR(INDEX($G$31:$K$50,MATCH(O26,$F$32:$F$50,0),MATCH($N$11,$I$30:$K$30,0),1),0)</f>
        <v>0</v>
      </c>
    </row>
    <row r="27" spans="1:16" s="936" customFormat="1">
      <c r="A27" s="1082"/>
      <c r="B27" s="1121">
        <f>margins!BF16</f>
        <v>7.75</v>
      </c>
      <c r="C27" s="1322">
        <f>margins!BH16-margins!BI16</f>
        <v>101.49829999999996</v>
      </c>
      <c r="D27" s="1324">
        <f>margins!BH16-margins!BI16</f>
        <v>101.49829999999996</v>
      </c>
      <c r="E27" s="1214"/>
      <c r="F27" s="1828"/>
      <c r="G27" s="1829"/>
      <c r="H27" s="1830"/>
      <c r="L27" s="1079"/>
      <c r="N27" s="428" t="s">
        <v>204</v>
      </c>
      <c r="O27" s="582" t="s">
        <v>191</v>
      </c>
      <c r="P27" s="436">
        <f>IFERROR(INDEX($G$51:$K$53,MATCH(O27,$F$51:$F$53,0),MATCH($N$11,$I$30:$K$30,0),1),0)</f>
        <v>0</v>
      </c>
    </row>
    <row r="28" spans="1:16" s="936" customFormat="1" ht="14.25" customHeight="1">
      <c r="A28" s="1082"/>
      <c r="B28" s="1121">
        <f>margins!BF17</f>
        <v>7.875</v>
      </c>
      <c r="C28" s="1322">
        <f>margins!BH17-margins!BI17</f>
        <v>101.74829999999996</v>
      </c>
      <c r="D28" s="1324">
        <f>margins!BH17-margins!BI17</f>
        <v>101.74829999999996</v>
      </c>
      <c r="E28" s="1214"/>
      <c r="F28" s="1828" t="s">
        <v>688</v>
      </c>
      <c r="G28" s="1829"/>
      <c r="H28" s="1830"/>
      <c r="L28" s="1079"/>
      <c r="N28" s="428" t="s">
        <v>205</v>
      </c>
      <c r="O28" s="582">
        <v>30</v>
      </c>
      <c r="P28" s="436">
        <f>IF(OR(O28=15, O28="Choose a Selection"),0,IF(O28=30,H13, 0))</f>
        <v>0</v>
      </c>
    </row>
    <row r="29" spans="1:16" s="936" customFormat="1" ht="15.75" thickBot="1">
      <c r="A29" s="1082"/>
      <c r="B29" s="1121">
        <f>margins!BF18</f>
        <v>8</v>
      </c>
      <c r="C29" s="1322">
        <f>margins!BH18-margins!BI18</f>
        <v>101.99829999999996</v>
      </c>
      <c r="D29" s="1324">
        <f>margins!BH18-margins!BI18</f>
        <v>101.99829999999996</v>
      </c>
      <c r="E29" s="1214"/>
      <c r="F29" s="1828"/>
      <c r="G29" s="1829"/>
      <c r="H29" s="1830"/>
      <c r="L29" s="1079"/>
      <c r="N29" s="429" t="s">
        <v>206</v>
      </c>
      <c r="O29" s="906"/>
      <c r="P29" s="437">
        <f>SUM(P17:P28)</f>
        <v>0</v>
      </c>
    </row>
    <row r="30" spans="1:16" s="936" customFormat="1" ht="15" customHeight="1" thickBot="1">
      <c r="A30" s="1082"/>
      <c r="B30" s="1121">
        <f>margins!BF19</f>
        <v>8.125</v>
      </c>
      <c r="C30" s="1322">
        <f>margins!BH19-margins!BI19</f>
        <v>102.24829999999996</v>
      </c>
      <c r="D30" s="1324">
        <f>margins!BH19-margins!BI19</f>
        <v>102.24829999999996</v>
      </c>
      <c r="E30" s="1214"/>
      <c r="F30" s="1828" t="s">
        <v>215</v>
      </c>
      <c r="G30" s="1829"/>
      <c r="H30" s="1830"/>
      <c r="L30" s="1079"/>
      <c r="N30" s="420"/>
      <c r="O30" s="421"/>
      <c r="P30" s="430"/>
    </row>
    <row r="31" spans="1:16" s="936" customFormat="1" ht="15.75" thickBot="1">
      <c r="A31" s="1082"/>
      <c r="B31" s="1121">
        <f>margins!BF20</f>
        <v>8.25</v>
      </c>
      <c r="C31" s="1322">
        <f>margins!BH20-margins!BI20</f>
        <v>102.44829999999996</v>
      </c>
      <c r="D31" s="1324">
        <f>margins!BH20-margins!BI20</f>
        <v>102.44829999999996</v>
      </c>
      <c r="E31" s="1214"/>
      <c r="F31" s="1831"/>
      <c r="G31" s="1832"/>
      <c r="H31" s="1833"/>
      <c r="L31" s="1079"/>
      <c r="N31" s="422" t="s">
        <v>207</v>
      </c>
      <c r="O31" s="423"/>
      <c r="P31" s="905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36" customFormat="1" ht="15.75" thickBot="1">
      <c r="A32" s="1082"/>
      <c r="B32" s="1121">
        <f>margins!BF21</f>
        <v>8.375</v>
      </c>
      <c r="C32" s="1322">
        <f>margins!BH21-margins!BI21</f>
        <v>102.64829999999996</v>
      </c>
      <c r="D32" s="1324">
        <f>margins!BH21-margins!BI21</f>
        <v>102.64829999999996</v>
      </c>
      <c r="E32" s="1214"/>
      <c r="G32" s="1081"/>
      <c r="H32" s="1080"/>
      <c r="L32" s="1079"/>
      <c r="N32" s="417"/>
      <c r="O32" s="417"/>
      <c r="P32" s="417"/>
    </row>
    <row r="33" spans="1:16" s="936" customFormat="1" ht="15.75" thickBot="1">
      <c r="A33" s="1082"/>
      <c r="B33" s="1121">
        <f>margins!BF22</f>
        <v>8.5</v>
      </c>
      <c r="C33" s="1322">
        <f>margins!BH22-margins!BI22</f>
        <v>102.79829999999997</v>
      </c>
      <c r="D33" s="1324">
        <f>margins!BH22-margins!BI22</f>
        <v>102.79829999999997</v>
      </c>
      <c r="E33" s="1214"/>
      <c r="G33" s="1081"/>
      <c r="H33" s="1080"/>
      <c r="L33" s="1079"/>
      <c r="N33" s="749" t="s">
        <v>444</v>
      </c>
      <c r="O33" s="750"/>
      <c r="P33" s="751"/>
    </row>
    <row r="34" spans="1:16" s="936" customFormat="1">
      <c r="A34" s="1082"/>
      <c r="B34" s="1121">
        <f>margins!BF23</f>
        <v>8.625</v>
      </c>
      <c r="C34" s="1322">
        <f>margins!BH23-margins!BI23</f>
        <v>102.94829999999997</v>
      </c>
      <c r="D34" s="1324">
        <f>margins!BH23-margins!BI23</f>
        <v>102.94829999999997</v>
      </c>
      <c r="E34" s="1214"/>
      <c r="G34" s="1081"/>
      <c r="L34" s="1079"/>
    </row>
    <row r="35" spans="1:16" s="936" customFormat="1">
      <c r="A35" s="1082"/>
      <c r="B35" s="1121">
        <f>margins!BF24</f>
        <v>8.75</v>
      </c>
      <c r="C35" s="1322">
        <f>margins!BH24-margins!BI24</f>
        <v>103.09829999999998</v>
      </c>
      <c r="D35" s="1324">
        <f>margins!BH24-margins!BI24</f>
        <v>103.09829999999998</v>
      </c>
      <c r="E35" s="1214"/>
      <c r="G35" s="1081"/>
      <c r="L35" s="1079"/>
    </row>
    <row r="36" spans="1:16" s="936" customFormat="1">
      <c r="A36" s="1082"/>
      <c r="B36" s="1121">
        <f>margins!BF25</f>
        <v>8.875</v>
      </c>
      <c r="C36" s="1322">
        <f>margins!BH25-margins!BI25</f>
        <v>103.22329999999998</v>
      </c>
      <c r="D36" s="1324">
        <f>margins!BH25-margins!BI25</f>
        <v>103.22329999999998</v>
      </c>
      <c r="E36" s="1214"/>
      <c r="G36" s="1081"/>
      <c r="L36" s="1079"/>
    </row>
    <row r="37" spans="1:16" s="936" customFormat="1">
      <c r="A37" s="1082"/>
      <c r="B37" s="1121">
        <f>margins!BF26</f>
        <v>9</v>
      </c>
      <c r="C37" s="1322">
        <f>margins!BH26-margins!BI26</f>
        <v>103.34829999999998</v>
      </c>
      <c r="D37" s="1324">
        <f>margins!BH26-margins!BI26</f>
        <v>103.34829999999998</v>
      </c>
      <c r="E37" s="1214"/>
      <c r="G37" s="1081"/>
      <c r="L37" s="1079"/>
    </row>
    <row r="38" spans="1:16" s="936" customFormat="1">
      <c r="A38" s="1082"/>
      <c r="B38" s="1121">
        <f>margins!BF27</f>
        <v>9.125</v>
      </c>
      <c r="C38" s="1322">
        <f>margins!BH27-margins!BI27</f>
        <v>103.47329999999998</v>
      </c>
      <c r="D38" s="1324">
        <f>margins!BH27-margins!BI27</f>
        <v>103.47329999999998</v>
      </c>
      <c r="E38" s="1214"/>
      <c r="G38" s="1081"/>
      <c r="L38" s="1079"/>
    </row>
    <row r="39" spans="1:16" s="936" customFormat="1">
      <c r="A39" s="1082"/>
      <c r="B39" s="1121">
        <f>margins!BF28</f>
        <v>9.25</v>
      </c>
      <c r="C39" s="1322">
        <f>margins!BH28-margins!BI28</f>
        <v>103.58329999999998</v>
      </c>
      <c r="D39" s="1324">
        <f>margins!BH28-margins!BI28</f>
        <v>103.58329999999998</v>
      </c>
      <c r="E39" s="1214"/>
      <c r="G39" s="1081"/>
      <c r="L39" s="1079"/>
    </row>
    <row r="40" spans="1:16" s="936" customFormat="1">
      <c r="A40" s="1082"/>
      <c r="B40" s="1121">
        <f>margins!BF29</f>
        <v>9.375</v>
      </c>
      <c r="C40" s="1322">
        <f>margins!BH29-margins!BI29</f>
        <v>103.69329999999998</v>
      </c>
      <c r="D40" s="1324">
        <f>margins!BH29-margins!BI29</f>
        <v>103.69329999999998</v>
      </c>
      <c r="E40" s="1214"/>
      <c r="G40" s="1081"/>
      <c r="L40" s="1079"/>
    </row>
    <row r="41" spans="1:16" s="936" customFormat="1">
      <c r="A41" s="1082"/>
      <c r="B41" s="1121">
        <f>margins!BF30</f>
        <v>9.5</v>
      </c>
      <c r="C41" s="1322">
        <f>margins!BH30-margins!BI30</f>
        <v>103.79329999999997</v>
      </c>
      <c r="D41" s="1324">
        <f>margins!BH30-margins!BI30</f>
        <v>103.79329999999997</v>
      </c>
      <c r="E41" s="1214"/>
      <c r="G41" s="1081"/>
      <c r="L41" s="1079"/>
    </row>
    <row r="42" spans="1:16" s="936" customFormat="1">
      <c r="A42" s="1082"/>
      <c r="B42" s="1121">
        <f>margins!BF31</f>
        <v>9.625</v>
      </c>
      <c r="C42" s="1322">
        <f>margins!BH31-margins!BI31</f>
        <v>103.89329999999997</v>
      </c>
      <c r="D42" s="1324">
        <f>margins!BH31-margins!BI31</f>
        <v>103.89329999999997</v>
      </c>
      <c r="E42" s="1214"/>
      <c r="G42" s="1081"/>
      <c r="L42" s="1079"/>
    </row>
    <row r="43" spans="1:16" s="936" customFormat="1">
      <c r="A43" s="1082"/>
      <c r="B43" s="1121">
        <f>margins!BF32</f>
        <v>9.75</v>
      </c>
      <c r="C43" s="1322">
        <f>margins!BH32-margins!BI32</f>
        <v>103.99329999999996</v>
      </c>
      <c r="D43" s="1324">
        <f>margins!BH32-margins!BI32</f>
        <v>103.99329999999996</v>
      </c>
      <c r="E43" s="1214"/>
      <c r="G43" s="1081"/>
      <c r="L43" s="1079"/>
    </row>
    <row r="44" spans="1:16" s="936" customFormat="1">
      <c r="A44" s="1082"/>
      <c r="B44" s="1121">
        <f>margins!BF33</f>
        <v>9.875</v>
      </c>
      <c r="C44" s="1322">
        <f>margins!BH33-margins!BI33</f>
        <v>104.09329999999996</v>
      </c>
      <c r="D44" s="1324">
        <f>margins!BH33-margins!BI33</f>
        <v>104.09329999999996</v>
      </c>
      <c r="E44" s="1214"/>
      <c r="G44" s="1081"/>
      <c r="L44" s="1079"/>
    </row>
    <row r="45" spans="1:16" s="936" customFormat="1">
      <c r="A45" s="1082"/>
      <c r="B45" s="1121">
        <f>margins!BF34</f>
        <v>10</v>
      </c>
      <c r="C45" s="1322">
        <f>margins!BH34-margins!BI34</f>
        <v>104.19329999999995</v>
      </c>
      <c r="D45" s="1324">
        <f>margins!BH34-margins!BI34</f>
        <v>104.19329999999995</v>
      </c>
      <c r="E45" s="1214"/>
      <c r="G45" s="1081"/>
      <c r="L45" s="1079"/>
    </row>
    <row r="46" spans="1:16" s="936" customFormat="1">
      <c r="A46" s="1082"/>
      <c r="B46" s="1121">
        <f>margins!BF35</f>
        <v>10.125</v>
      </c>
      <c r="C46" s="1322">
        <f>margins!BH35-margins!BI35</f>
        <v>104.29329999999995</v>
      </c>
      <c r="D46" s="1324">
        <f>margins!BH35-margins!BI35</f>
        <v>104.29329999999995</v>
      </c>
      <c r="E46" s="1214"/>
      <c r="G46" s="1081"/>
      <c r="L46" s="1079"/>
    </row>
    <row r="47" spans="1:16" s="936" customFormat="1">
      <c r="A47" s="1082"/>
      <c r="B47" s="1121">
        <f>margins!BF36</f>
        <v>10.25</v>
      </c>
      <c r="C47" s="1322">
        <f>margins!BH36-margins!BI36</f>
        <v>104.39329999999994</v>
      </c>
      <c r="D47" s="1324">
        <f>margins!BH36-margins!BI36</f>
        <v>104.39329999999994</v>
      </c>
      <c r="E47" s="1214"/>
      <c r="G47" s="1081"/>
      <c r="L47" s="1079"/>
    </row>
    <row r="48" spans="1:16" s="936" customFormat="1" ht="15.75" thickBot="1">
      <c r="A48" s="1082"/>
      <c r="B48" s="1117">
        <f>margins!BF37</f>
        <v>10.375</v>
      </c>
      <c r="C48" s="1370">
        <f>margins!BH37-margins!BI37</f>
        <v>104.49329999999993</v>
      </c>
      <c r="D48" s="1371">
        <f>margins!BH37-margins!BI37</f>
        <v>104.49329999999993</v>
      </c>
      <c r="E48" s="1214"/>
      <c r="G48" s="1081"/>
      <c r="L48" s="1079"/>
    </row>
    <row r="49" spans="1:12" s="936" customFormat="1">
      <c r="A49" s="1082"/>
      <c r="B49" s="1114"/>
      <c r="C49" s="1113"/>
      <c r="D49" s="1214"/>
      <c r="G49" s="1081"/>
      <c r="H49" s="1080"/>
      <c r="L49" s="1079"/>
    </row>
    <row r="50" spans="1:12" s="936" customFormat="1" ht="15.75" thickBot="1">
      <c r="A50" s="1082"/>
      <c r="G50" s="1081"/>
      <c r="H50" s="1080"/>
      <c r="L50" s="1079"/>
    </row>
    <row r="51" spans="1:12" s="936" customFormat="1" ht="15.75" thickBot="1">
      <c r="A51" s="1082"/>
      <c r="B51" s="1823" t="s">
        <v>216</v>
      </c>
      <c r="C51" s="1823"/>
      <c r="D51" s="1823"/>
      <c r="E51" s="2046" t="s">
        <v>298</v>
      </c>
      <c r="F51" s="2047"/>
      <c r="G51" s="2047"/>
      <c r="H51" s="2047"/>
      <c r="I51" s="2047"/>
      <c r="J51" s="2048"/>
      <c r="L51" s="1079"/>
    </row>
    <row r="52" spans="1:12" s="936" customFormat="1" ht="15.75" thickBot="1">
      <c r="A52" s="1082"/>
      <c r="B52" s="1286"/>
      <c r="C52" s="1293"/>
      <c r="D52" s="1363" t="s">
        <v>191</v>
      </c>
      <c r="E52" s="1101" t="s">
        <v>15</v>
      </c>
      <c r="F52" s="1282" t="s">
        <v>16</v>
      </c>
      <c r="G52" s="1271" t="s">
        <v>17</v>
      </c>
      <c r="H52" s="1271" t="s">
        <v>18</v>
      </c>
      <c r="I52" s="1282" t="s">
        <v>19</v>
      </c>
      <c r="J52" s="1285" t="s">
        <v>20</v>
      </c>
      <c r="L52" s="1079"/>
    </row>
    <row r="53" spans="1:12" s="936" customFormat="1">
      <c r="A53" s="1082"/>
      <c r="B53" s="1760" t="s">
        <v>156</v>
      </c>
      <c r="C53" s="1778" t="s">
        <v>111</v>
      </c>
      <c r="D53" s="2045"/>
      <c r="E53" s="1393">
        <v>0.875</v>
      </c>
      <c r="F53" s="1394">
        <v>0.875</v>
      </c>
      <c r="G53" s="1394">
        <v>0.875</v>
      </c>
      <c r="H53" s="1394">
        <v>0.875</v>
      </c>
      <c r="I53" s="1394">
        <v>0.625</v>
      </c>
      <c r="J53" s="1395">
        <v>0</v>
      </c>
      <c r="L53" s="1079"/>
    </row>
    <row r="54" spans="1:12" s="936" customFormat="1">
      <c r="A54" s="1082"/>
      <c r="B54" s="1760"/>
      <c r="C54" s="1778" t="s">
        <v>24</v>
      </c>
      <c r="D54" s="2045"/>
      <c r="E54" s="1387">
        <v>0.875</v>
      </c>
      <c r="F54" s="1382">
        <v>0.875</v>
      </c>
      <c r="G54" s="1382">
        <v>0.75</v>
      </c>
      <c r="H54" s="1382">
        <v>0.75</v>
      </c>
      <c r="I54" s="1382">
        <v>0.25</v>
      </c>
      <c r="J54" s="1388">
        <v>-0.25</v>
      </c>
      <c r="L54" s="1079"/>
    </row>
    <row r="55" spans="1:12" s="936" customFormat="1">
      <c r="A55" s="1082"/>
      <c r="B55" s="1760"/>
      <c r="C55" s="1778" t="s">
        <v>25</v>
      </c>
      <c r="D55" s="2045"/>
      <c r="E55" s="1387">
        <v>0.75</v>
      </c>
      <c r="F55" s="1382">
        <v>0.75</v>
      </c>
      <c r="G55" s="1382">
        <v>0.625</v>
      </c>
      <c r="H55" s="1382">
        <v>0.5</v>
      </c>
      <c r="I55" s="1382">
        <v>0</v>
      </c>
      <c r="J55" s="1388">
        <v>-0.75</v>
      </c>
      <c r="L55" s="1079"/>
    </row>
    <row r="56" spans="1:12" s="936" customFormat="1" ht="15.75" thickBot="1">
      <c r="A56" s="1082"/>
      <c r="B56" s="1760"/>
      <c r="C56" s="1778" t="s">
        <v>709</v>
      </c>
      <c r="D56" s="2045"/>
      <c r="E56" s="1389">
        <v>0</v>
      </c>
      <c r="F56" s="1383">
        <v>-0.125</v>
      </c>
      <c r="G56" s="1383">
        <v>-0.5</v>
      </c>
      <c r="H56" s="1383">
        <v>-0.625</v>
      </c>
      <c r="I56" s="1383">
        <v>-1</v>
      </c>
      <c r="J56" s="1390" t="s">
        <v>475</v>
      </c>
      <c r="L56" s="1079"/>
    </row>
    <row r="57" spans="1:12" s="936" customFormat="1">
      <c r="A57" s="1082"/>
      <c r="B57" s="1757" t="s">
        <v>650</v>
      </c>
      <c r="C57" s="1774" t="s">
        <v>156</v>
      </c>
      <c r="D57" s="1775"/>
      <c r="E57" s="1391">
        <v>-0.5</v>
      </c>
      <c r="F57" s="1384">
        <v>-0.5</v>
      </c>
      <c r="G57" s="1384">
        <v>-0.5</v>
      </c>
      <c r="H57" s="1384">
        <v>-0.5</v>
      </c>
      <c r="I57" s="1384">
        <v>-0.5</v>
      </c>
      <c r="J57" s="1385">
        <v>-0.5</v>
      </c>
      <c r="L57" s="1079"/>
    </row>
    <row r="58" spans="1:12" s="936" customFormat="1" ht="15.75" thickBot="1">
      <c r="A58" s="1082"/>
      <c r="B58" s="1759"/>
      <c r="C58" s="1709" t="s">
        <v>624</v>
      </c>
      <c r="D58" s="1710"/>
      <c r="E58" s="1392">
        <v>0.25</v>
      </c>
      <c r="F58" s="1386">
        <v>0.25</v>
      </c>
      <c r="G58" s="1386">
        <v>0.25</v>
      </c>
      <c r="H58" s="1386">
        <v>0.25</v>
      </c>
      <c r="I58" s="1386">
        <v>0.25</v>
      </c>
      <c r="J58" s="1346">
        <v>0.375</v>
      </c>
      <c r="L58" s="1079"/>
    </row>
    <row r="59" spans="1:12" s="936" customFormat="1" ht="15.75" thickBot="1">
      <c r="A59" s="1082"/>
      <c r="B59" s="1085"/>
      <c r="C59" s="1085"/>
      <c r="D59" s="1085"/>
      <c r="E59" s="1085"/>
      <c r="F59" s="1169"/>
      <c r="G59" s="1212"/>
      <c r="H59" s="1169"/>
      <c r="I59" s="1169"/>
      <c r="J59" s="1212"/>
      <c r="K59" s="1211"/>
      <c r="L59" s="1079"/>
    </row>
    <row r="60" spans="1:12" s="936" customFormat="1" ht="15.75" thickBot="1">
      <c r="A60" s="1082"/>
      <c r="B60" s="1823" t="s">
        <v>704</v>
      </c>
      <c r="C60" s="1823"/>
      <c r="D60" s="1823"/>
      <c r="E60" s="1736" t="s">
        <v>298</v>
      </c>
      <c r="F60" s="1737"/>
      <c r="G60" s="1737"/>
      <c r="H60" s="1737"/>
      <c r="I60" s="1737"/>
      <c r="J60" s="1738"/>
      <c r="K60" s="1128"/>
      <c r="L60" s="1079"/>
    </row>
    <row r="61" spans="1:12" s="936" customFormat="1" ht="15.75" thickBot="1">
      <c r="A61" s="1082"/>
      <c r="B61" s="1761"/>
      <c r="C61" s="1775"/>
      <c r="D61" s="1775"/>
      <c r="E61" s="1210" t="s">
        <v>15</v>
      </c>
      <c r="F61" s="1209" t="s">
        <v>16</v>
      </c>
      <c r="G61" s="1208" t="s">
        <v>17</v>
      </c>
      <c r="H61" s="1207" t="s">
        <v>18</v>
      </c>
      <c r="I61" s="1206" t="s">
        <v>19</v>
      </c>
      <c r="J61" s="1205" t="s">
        <v>20</v>
      </c>
      <c r="L61" s="1079"/>
    </row>
    <row r="62" spans="1:12" s="936" customFormat="1">
      <c r="A62" s="1082"/>
      <c r="B62" s="1772" t="s">
        <v>198</v>
      </c>
      <c r="C62" s="1715" t="s">
        <v>625</v>
      </c>
      <c r="D62" s="1716"/>
      <c r="E62" s="1391">
        <v>-0.25</v>
      </c>
      <c r="F62" s="1384">
        <v>-0.25</v>
      </c>
      <c r="G62" s="1384">
        <v>-0.25</v>
      </c>
      <c r="H62" s="1384">
        <v>-0.25</v>
      </c>
      <c r="I62" s="1384">
        <v>-0.25</v>
      </c>
      <c r="J62" s="1385">
        <v>-0.5</v>
      </c>
      <c r="L62" s="1079"/>
    </row>
    <row r="63" spans="1:12" s="936" customFormat="1" ht="15.75" thickBot="1">
      <c r="A63" s="1082"/>
      <c r="B63" s="1773"/>
      <c r="C63" s="1712" t="s">
        <v>626</v>
      </c>
      <c r="D63" s="1713"/>
      <c r="E63" s="1392">
        <v>-0.25</v>
      </c>
      <c r="F63" s="1386">
        <v>-0.25</v>
      </c>
      <c r="G63" s="1386">
        <v>-0.25</v>
      </c>
      <c r="H63" s="1386">
        <v>-0.25</v>
      </c>
      <c r="I63" s="1386">
        <v>-0.25</v>
      </c>
      <c r="J63" s="1346">
        <v>-0.5</v>
      </c>
      <c r="L63" s="1079"/>
    </row>
    <row r="64" spans="1:12" s="936" customFormat="1">
      <c r="A64" s="1082"/>
      <c r="B64" s="1772" t="s">
        <v>47</v>
      </c>
      <c r="C64" s="1703" t="s">
        <v>545</v>
      </c>
      <c r="D64" s="1704"/>
      <c r="E64" s="1393">
        <v>0</v>
      </c>
      <c r="F64" s="1394">
        <v>0</v>
      </c>
      <c r="G64" s="1394">
        <v>0</v>
      </c>
      <c r="H64" s="1394">
        <v>0</v>
      </c>
      <c r="I64" s="1394">
        <v>0</v>
      </c>
      <c r="J64" s="1395">
        <v>0</v>
      </c>
      <c r="L64" s="1079"/>
    </row>
    <row r="65" spans="1:12" s="936" customFormat="1">
      <c r="A65" s="1082"/>
      <c r="B65" s="1760"/>
      <c r="C65" s="1706" t="s">
        <v>546</v>
      </c>
      <c r="D65" s="1707"/>
      <c r="E65" s="1387">
        <v>-0.125</v>
      </c>
      <c r="F65" s="1382">
        <v>-0.125</v>
      </c>
      <c r="G65" s="1382">
        <v>-0.25</v>
      </c>
      <c r="H65" s="1382">
        <v>-0.25</v>
      </c>
      <c r="I65" s="1382">
        <v>-0.375</v>
      </c>
      <c r="J65" s="1388">
        <v>-0.5</v>
      </c>
      <c r="L65" s="1079"/>
    </row>
    <row r="66" spans="1:12" s="936" customFormat="1">
      <c r="A66" s="1082"/>
      <c r="B66" s="1760"/>
      <c r="C66" s="1706" t="s">
        <v>547</v>
      </c>
      <c r="D66" s="1707"/>
      <c r="E66" s="1387">
        <v>-0.125</v>
      </c>
      <c r="F66" s="1382">
        <v>-0.125</v>
      </c>
      <c r="G66" s="1382">
        <v>-0.25</v>
      </c>
      <c r="H66" s="1382">
        <v>-0.375</v>
      </c>
      <c r="I66" s="1382">
        <v>-0.5</v>
      </c>
      <c r="J66" s="1388">
        <v>-1.5</v>
      </c>
      <c r="L66" s="1079"/>
    </row>
    <row r="67" spans="1:12" s="936" customFormat="1" ht="15.75" thickBot="1">
      <c r="A67" s="1082"/>
      <c r="B67" s="1773"/>
      <c r="C67" s="1718" t="s">
        <v>548</v>
      </c>
      <c r="D67" s="1719"/>
      <c r="E67" s="1389">
        <v>-0.375</v>
      </c>
      <c r="F67" s="1383">
        <v>-0.375</v>
      </c>
      <c r="G67" s="1383">
        <v>-0.375</v>
      </c>
      <c r="H67" s="1383">
        <v>-0.5</v>
      </c>
      <c r="I67" s="1383">
        <v>-0.75</v>
      </c>
      <c r="J67" s="1390">
        <v>-1.625</v>
      </c>
      <c r="L67" s="1079"/>
    </row>
    <row r="68" spans="1:12" s="936" customFormat="1">
      <c r="A68" s="1082"/>
      <c r="B68" s="1772" t="s">
        <v>56</v>
      </c>
      <c r="C68" s="1715" t="s">
        <v>551</v>
      </c>
      <c r="D68" s="1716"/>
      <c r="E68" s="1391">
        <v>0</v>
      </c>
      <c r="F68" s="1384">
        <v>0</v>
      </c>
      <c r="G68" s="1384">
        <v>0</v>
      </c>
      <c r="H68" s="1384">
        <v>0</v>
      </c>
      <c r="I68" s="1384">
        <v>0</v>
      </c>
      <c r="J68" s="1385">
        <v>0</v>
      </c>
      <c r="L68" s="1079"/>
    </row>
    <row r="69" spans="1:12" s="936" customFormat="1" ht="15.75" thickBot="1">
      <c r="A69" s="1082"/>
      <c r="B69" s="1773"/>
      <c r="C69" s="1712" t="s">
        <v>558</v>
      </c>
      <c r="D69" s="1713"/>
      <c r="E69" s="1392">
        <v>0</v>
      </c>
      <c r="F69" s="1386">
        <v>0</v>
      </c>
      <c r="G69" s="1386">
        <v>-0.25</v>
      </c>
      <c r="H69" s="1386">
        <v>-0.5</v>
      </c>
      <c r="I69" s="1386">
        <v>-0.75</v>
      </c>
      <c r="J69" s="1346" t="s">
        <v>475</v>
      </c>
      <c r="L69" s="1079"/>
    </row>
    <row r="70" spans="1:12" s="936" customFormat="1" ht="15.75" thickBot="1">
      <c r="A70" s="1082"/>
      <c r="B70" s="1101" t="s">
        <v>308</v>
      </c>
      <c r="C70" s="1778" t="s">
        <v>710</v>
      </c>
      <c r="D70" s="2045"/>
      <c r="E70" s="1397">
        <v>-1.25</v>
      </c>
      <c r="F70" s="1396">
        <v>-1.25</v>
      </c>
      <c r="G70" s="1396">
        <v>-1.25</v>
      </c>
      <c r="H70" s="1396">
        <v>-1.25</v>
      </c>
      <c r="I70" s="1396">
        <v>-1.75</v>
      </c>
      <c r="J70" s="1398" t="s">
        <v>475</v>
      </c>
      <c r="L70" s="1079"/>
    </row>
    <row r="71" spans="1:12" s="936" customFormat="1">
      <c r="A71" s="1082"/>
      <c r="B71" s="1772" t="s">
        <v>62</v>
      </c>
      <c r="C71" s="1715" t="s">
        <v>658</v>
      </c>
      <c r="D71" s="1716"/>
      <c r="E71" s="1391">
        <v>-3.75</v>
      </c>
      <c r="F71" s="1384">
        <v>-3.75</v>
      </c>
      <c r="G71" s="1384">
        <v>-5</v>
      </c>
      <c r="H71" s="1384">
        <v>-5.25</v>
      </c>
      <c r="I71" s="1384">
        <v>-7</v>
      </c>
      <c r="J71" s="1385">
        <v>-7.25</v>
      </c>
      <c r="L71" s="1079"/>
    </row>
    <row r="72" spans="1:12" s="936" customFormat="1" ht="15.75" thickBot="1">
      <c r="A72" s="1082"/>
      <c r="B72" s="1773"/>
      <c r="C72" s="1712" t="s">
        <v>659</v>
      </c>
      <c r="D72" s="1713"/>
      <c r="E72" s="1392">
        <v>-2.5</v>
      </c>
      <c r="F72" s="1386">
        <v>-2.5</v>
      </c>
      <c r="G72" s="1386">
        <v>-3.75</v>
      </c>
      <c r="H72" s="1386">
        <v>-4</v>
      </c>
      <c r="I72" s="1386">
        <v>-5.75</v>
      </c>
      <c r="J72" s="1346">
        <v>-6</v>
      </c>
      <c r="L72" s="1079"/>
    </row>
    <row r="73" spans="1:12" s="936" customFormat="1" ht="15.75" thickBot="1">
      <c r="A73" s="1082"/>
      <c r="B73" s="1102" t="s">
        <v>628</v>
      </c>
      <c r="C73" s="1778" t="s">
        <v>549</v>
      </c>
      <c r="D73" s="2045"/>
      <c r="E73" s="1397">
        <v>-0.25</v>
      </c>
      <c r="F73" s="1396">
        <v>-0.375</v>
      </c>
      <c r="G73" s="1396">
        <v>-0.5</v>
      </c>
      <c r="H73" s="1396">
        <v>-0.625</v>
      </c>
      <c r="I73" s="1396">
        <v>-1</v>
      </c>
      <c r="J73" s="1398" t="s">
        <v>475</v>
      </c>
      <c r="L73" s="1079"/>
    </row>
    <row r="74" spans="1:12" s="936" customFormat="1">
      <c r="A74" s="1082"/>
      <c r="B74" s="1772" t="s">
        <v>133</v>
      </c>
      <c r="C74" s="1774" t="s">
        <v>712</v>
      </c>
      <c r="D74" s="1775"/>
      <c r="E74" s="1391">
        <v>-0.25</v>
      </c>
      <c r="F74" s="1384">
        <v>-0.25</v>
      </c>
      <c r="G74" s="1384">
        <v>-0.25</v>
      </c>
      <c r="H74" s="1384">
        <v>-0.25</v>
      </c>
      <c r="I74" s="1384">
        <v>-0.25</v>
      </c>
      <c r="J74" s="1385">
        <v>-0.25</v>
      </c>
      <c r="L74" s="1079"/>
    </row>
    <row r="75" spans="1:12" s="936" customFormat="1" ht="15.75" thickBot="1">
      <c r="A75" s="1082"/>
      <c r="B75" s="1773"/>
      <c r="C75" s="1709" t="s">
        <v>665</v>
      </c>
      <c r="D75" s="1710"/>
      <c r="E75" s="1392">
        <v>0</v>
      </c>
      <c r="F75" s="1386">
        <v>-0.125</v>
      </c>
      <c r="G75" s="1386">
        <v>-0.125</v>
      </c>
      <c r="H75" s="1386">
        <v>-0.25</v>
      </c>
      <c r="I75" s="1386">
        <v>-0.25</v>
      </c>
      <c r="J75" s="1346">
        <v>-0.375</v>
      </c>
      <c r="L75" s="1079"/>
    </row>
    <row r="76" spans="1:12" s="936" customFormat="1" ht="15" customHeight="1">
      <c r="A76" s="1082"/>
      <c r="B76" s="1757" t="s">
        <v>584</v>
      </c>
      <c r="C76" s="1703" t="s">
        <v>95</v>
      </c>
      <c r="D76" s="1704"/>
      <c r="E76" s="1393">
        <v>0.5</v>
      </c>
      <c r="F76" s="1394">
        <v>0.5</v>
      </c>
      <c r="G76" s="1394">
        <v>0.5</v>
      </c>
      <c r="H76" s="1394">
        <v>0.5</v>
      </c>
      <c r="I76" s="1394">
        <v>0.5</v>
      </c>
      <c r="J76" s="1395">
        <v>0.5</v>
      </c>
      <c r="L76" s="1079"/>
    </row>
    <row r="77" spans="1:12" s="936" customFormat="1">
      <c r="A77" s="1082"/>
      <c r="B77" s="1758"/>
      <c r="C77" s="1706" t="s">
        <v>96</v>
      </c>
      <c r="D77" s="1707"/>
      <c r="E77" s="1387">
        <v>0.25</v>
      </c>
      <c r="F77" s="1382">
        <v>0.25</v>
      </c>
      <c r="G77" s="1382">
        <v>0.25</v>
      </c>
      <c r="H77" s="1382">
        <v>0.25</v>
      </c>
      <c r="I77" s="1382">
        <v>0.25</v>
      </c>
      <c r="J77" s="1388">
        <v>0.25</v>
      </c>
      <c r="L77" s="1079"/>
    </row>
    <row r="78" spans="1:12" s="936" customFormat="1">
      <c r="A78" s="1082"/>
      <c r="B78" s="1758"/>
      <c r="C78" s="1706" t="s">
        <v>7</v>
      </c>
      <c r="D78" s="1707"/>
      <c r="E78" s="1387">
        <v>0</v>
      </c>
      <c r="F78" s="1382">
        <v>0</v>
      </c>
      <c r="G78" s="1382">
        <v>0</v>
      </c>
      <c r="H78" s="1382">
        <v>0</v>
      </c>
      <c r="I78" s="1382">
        <v>0</v>
      </c>
      <c r="J78" s="1388">
        <v>0</v>
      </c>
      <c r="L78" s="1079"/>
    </row>
    <row r="79" spans="1:12" s="936" customFormat="1">
      <c r="A79" s="1082"/>
      <c r="B79" s="1758"/>
      <c r="C79" s="1706" t="s">
        <v>9</v>
      </c>
      <c r="D79" s="1707"/>
      <c r="E79" s="1387" t="s">
        <v>475</v>
      </c>
      <c r="F79" s="1382" t="s">
        <v>475</v>
      </c>
      <c r="G79" s="1382" t="s">
        <v>475</v>
      </c>
      <c r="H79" s="1382" t="s">
        <v>475</v>
      </c>
      <c r="I79" s="1382" t="s">
        <v>475</v>
      </c>
      <c r="J79" s="1388" t="s">
        <v>475</v>
      </c>
      <c r="L79" s="1079"/>
    </row>
    <row r="80" spans="1:12" s="936" customFormat="1">
      <c r="A80" s="1082"/>
      <c r="B80" s="1758"/>
      <c r="C80" s="1706" t="s">
        <v>11</v>
      </c>
      <c r="D80" s="1707"/>
      <c r="E80" s="1387">
        <v>-1</v>
      </c>
      <c r="F80" s="1382">
        <v>-1</v>
      </c>
      <c r="G80" s="1382">
        <v>-1</v>
      </c>
      <c r="H80" s="1382">
        <v>-1</v>
      </c>
      <c r="I80" s="1382">
        <v>-1</v>
      </c>
      <c r="J80" s="1388">
        <v>-1</v>
      </c>
      <c r="L80" s="1079"/>
    </row>
    <row r="81" spans="1:12" s="936" customFormat="1" ht="15.75" thickBot="1">
      <c r="A81" s="1082"/>
      <c r="B81" s="1759"/>
      <c r="C81" s="1718" t="s">
        <v>97</v>
      </c>
      <c r="D81" s="1719"/>
      <c r="E81" s="1389">
        <v>-2</v>
      </c>
      <c r="F81" s="1383">
        <v>-2</v>
      </c>
      <c r="G81" s="1383">
        <v>-2</v>
      </c>
      <c r="H81" s="1383">
        <v>-2</v>
      </c>
      <c r="I81" s="1383">
        <v>-2</v>
      </c>
      <c r="J81" s="1390">
        <v>-2</v>
      </c>
      <c r="L81" s="1079"/>
    </row>
    <row r="82" spans="1:12" s="936" customFormat="1">
      <c r="A82" s="1082"/>
      <c r="B82" s="1757" t="s">
        <v>711</v>
      </c>
      <c r="C82" s="1715" t="s">
        <v>95</v>
      </c>
      <c r="D82" s="1716"/>
      <c r="E82" s="1391">
        <v>-0.25</v>
      </c>
      <c r="F82" s="1384">
        <v>-0.25</v>
      </c>
      <c r="G82" s="1384">
        <v>-0.25</v>
      </c>
      <c r="H82" s="1384">
        <v>-0.25</v>
      </c>
      <c r="I82" s="1384">
        <v>-0.25</v>
      </c>
      <c r="J82" s="1385">
        <v>-0.25</v>
      </c>
      <c r="L82" s="1079"/>
    </row>
    <row r="83" spans="1:12" s="936" customFormat="1">
      <c r="A83" s="1082"/>
      <c r="B83" s="1758"/>
      <c r="C83" s="1706" t="s">
        <v>96</v>
      </c>
      <c r="D83" s="1707"/>
      <c r="E83" s="1387">
        <v>-0.375</v>
      </c>
      <c r="F83" s="1382">
        <v>-0.375</v>
      </c>
      <c r="G83" s="1382">
        <v>-0.375</v>
      </c>
      <c r="H83" s="1382">
        <v>-0.375</v>
      </c>
      <c r="I83" s="1382">
        <v>-0.375</v>
      </c>
      <c r="J83" s="1388">
        <v>-0.375</v>
      </c>
      <c r="L83" s="1079"/>
    </row>
    <row r="84" spans="1:12" s="936" customFormat="1" ht="15.75" thickBot="1">
      <c r="A84" s="1082"/>
      <c r="B84" s="1759"/>
      <c r="C84" s="1712" t="s">
        <v>7</v>
      </c>
      <c r="D84" s="1713"/>
      <c r="E84" s="1392">
        <v>-0.5</v>
      </c>
      <c r="F84" s="1386">
        <v>-0.5</v>
      </c>
      <c r="G84" s="1386">
        <v>-0.5</v>
      </c>
      <c r="H84" s="1386">
        <v>-0.5</v>
      </c>
      <c r="I84" s="1386">
        <v>-0.5</v>
      </c>
      <c r="J84" s="1346">
        <v>-0.5</v>
      </c>
      <c r="L84" s="1079"/>
    </row>
    <row r="85" spans="1:12" s="936" customFormat="1" ht="15" customHeight="1">
      <c r="A85" s="1082"/>
      <c r="C85" s="1218" t="s">
        <v>622</v>
      </c>
      <c r="D85" s="1150"/>
      <c r="E85" s="1150"/>
      <c r="F85" s="1158"/>
      <c r="G85" s="1203"/>
      <c r="H85" s="1158"/>
      <c r="I85" s="1158"/>
      <c r="J85" s="1203"/>
      <c r="K85" s="1203"/>
      <c r="L85" s="1079"/>
    </row>
    <row r="86" spans="1:12" s="936" customFormat="1">
      <c r="A86" s="1082"/>
      <c r="C86" s="1218" t="s">
        <v>621</v>
      </c>
      <c r="D86" s="1150"/>
      <c r="E86" s="1150"/>
      <c r="F86" s="1158"/>
      <c r="G86" s="1203"/>
      <c r="H86" s="1158"/>
      <c r="I86" s="1158"/>
      <c r="J86" s="1203"/>
      <c r="K86" s="1203"/>
      <c r="L86" s="1079"/>
    </row>
    <row r="87" spans="1:12" s="936" customFormat="1">
      <c r="A87" s="1082"/>
      <c r="C87" s="1150"/>
      <c r="D87" s="1150"/>
      <c r="E87" s="1150"/>
      <c r="F87" s="1158"/>
      <c r="G87" s="1203"/>
      <c r="H87" s="1158"/>
      <c r="I87" s="1158"/>
      <c r="J87" s="1203"/>
      <c r="K87" s="1203"/>
      <c r="L87" s="1079"/>
    </row>
    <row r="88" spans="1:12" s="936" customFormat="1">
      <c r="A88" s="1082"/>
      <c r="C88" s="1150"/>
      <c r="D88" s="1150"/>
      <c r="E88" s="1150"/>
      <c r="F88" s="1158"/>
      <c r="G88" s="1203"/>
      <c r="H88" s="1158"/>
      <c r="I88" s="1158"/>
      <c r="J88" s="1203"/>
      <c r="K88" s="1203"/>
      <c r="L88" s="1079"/>
    </row>
    <row r="89" spans="1:12" s="936" customFormat="1" ht="15" customHeight="1">
      <c r="A89" s="1082"/>
      <c r="C89" s="1150"/>
      <c r="D89" s="1150"/>
      <c r="E89" s="1150"/>
      <c r="F89" s="1203"/>
      <c r="G89" s="1203"/>
      <c r="H89" s="1158"/>
      <c r="I89" s="1203"/>
      <c r="J89" s="1203"/>
      <c r="K89" s="1158"/>
      <c r="L89" s="940"/>
    </row>
    <row r="90" spans="1:12" s="936" customFormat="1">
      <c r="A90" s="1082"/>
      <c r="B90" s="1204"/>
      <c r="C90" s="1150"/>
      <c r="D90" s="1150"/>
      <c r="E90" s="1150"/>
      <c r="F90" s="1203"/>
      <c r="G90" s="1158"/>
      <c r="H90" s="1203"/>
      <c r="I90" s="1203"/>
      <c r="J90" s="1158"/>
      <c r="K90" s="1158"/>
      <c r="L90" s="940"/>
    </row>
    <row r="91" spans="1:12" s="936" customFormat="1">
      <c r="A91" s="1082"/>
      <c r="B91" s="1204"/>
      <c r="C91" s="1150"/>
      <c r="D91" s="1150"/>
      <c r="E91" s="1150"/>
      <c r="F91" s="1203"/>
      <c r="G91" s="1158"/>
      <c r="H91" s="1203"/>
      <c r="I91" s="1203"/>
      <c r="J91" s="1158"/>
      <c r="K91" s="1158"/>
      <c r="L91" s="940"/>
    </row>
    <row r="92" spans="1:12" s="936" customFormat="1">
      <c r="A92" s="1082"/>
      <c r="B92" s="1204"/>
      <c r="C92" s="1150"/>
      <c r="D92" s="1150"/>
      <c r="E92" s="1150"/>
      <c r="F92" s="1203"/>
      <c r="G92" s="1158"/>
      <c r="H92" s="1203"/>
      <c r="I92" s="1203"/>
      <c r="J92" s="1158"/>
      <c r="K92" s="1158"/>
      <c r="L92" s="940"/>
    </row>
    <row r="93" spans="1:12" s="936" customFormat="1">
      <c r="A93" s="1082"/>
      <c r="B93" s="1204"/>
      <c r="C93" s="1150"/>
      <c r="D93" s="1150"/>
      <c r="E93" s="1150"/>
      <c r="F93" s="1203"/>
      <c r="G93" s="1203"/>
      <c r="H93" s="1158"/>
      <c r="I93" s="1203"/>
      <c r="J93" s="1203"/>
      <c r="K93" s="1158"/>
      <c r="L93" s="940"/>
    </row>
    <row r="94" spans="1:12" s="936" customFormat="1">
      <c r="A94" s="1082"/>
      <c r="B94" s="1085" t="s">
        <v>583</v>
      </c>
      <c r="C94" s="1150"/>
      <c r="D94" s="1150"/>
      <c r="E94" s="1150"/>
      <c r="F94" s="1203"/>
      <c r="G94" s="1203"/>
      <c r="H94" s="1158"/>
      <c r="I94" s="1203"/>
      <c r="J94" s="1203"/>
      <c r="K94" s="1158"/>
      <c r="L94" s="940"/>
    </row>
    <row r="95" spans="1:12" s="936" customFormat="1">
      <c r="A95" s="1082"/>
      <c r="B95" s="1085"/>
      <c r="C95" s="1150"/>
      <c r="D95" s="1150"/>
      <c r="E95" s="1150"/>
      <c r="F95" s="1158"/>
      <c r="G95" s="1203"/>
      <c r="H95" s="1158"/>
      <c r="I95" s="1158"/>
      <c r="J95" s="1203"/>
      <c r="K95" s="1203"/>
      <c r="L95" s="1079"/>
    </row>
    <row r="96" spans="1:12" s="936" customFormat="1">
      <c r="A96" s="1082"/>
      <c r="B96" s="1085"/>
      <c r="C96" s="1150"/>
      <c r="D96" s="1150"/>
      <c r="E96" s="1150"/>
      <c r="F96" s="1158"/>
      <c r="G96" s="1203"/>
      <c r="H96" s="1158"/>
      <c r="I96" s="1158"/>
      <c r="J96" s="1203"/>
      <c r="K96" s="1203"/>
      <c r="L96" s="1079"/>
    </row>
    <row r="97" spans="1:12" s="936" customFormat="1">
      <c r="A97" s="1082"/>
      <c r="B97" s="1085"/>
      <c r="C97" s="1150"/>
      <c r="D97" s="1150"/>
      <c r="E97" s="1150"/>
      <c r="F97" s="1158"/>
      <c r="G97" s="1203"/>
      <c r="H97" s="1158"/>
      <c r="I97" s="1158"/>
      <c r="J97" s="1203"/>
      <c r="K97" s="1203"/>
      <c r="L97" s="1079"/>
    </row>
    <row r="98" spans="1:12" s="936" customFormat="1">
      <c r="A98" s="1082"/>
      <c r="B98" s="1085" t="s">
        <v>68</v>
      </c>
      <c r="D98" s="1150"/>
      <c r="E98" s="1150"/>
      <c r="F98" s="1158"/>
      <c r="G98" s="1203"/>
      <c r="H98" s="1158"/>
      <c r="I98" s="1158"/>
      <c r="J98" s="1203"/>
      <c r="K98" s="1203"/>
      <c r="L98" s="1079"/>
    </row>
    <row r="99" spans="1:12" s="936" customFormat="1">
      <c r="A99" s="1082"/>
      <c r="B99" s="1085"/>
      <c r="D99" s="1150"/>
      <c r="E99" s="1150"/>
      <c r="F99" s="1158"/>
      <c r="G99" s="1203"/>
      <c r="H99" s="1158"/>
      <c r="I99" s="1158"/>
      <c r="J99" s="1203"/>
      <c r="K99" s="1203"/>
      <c r="L99" s="1079"/>
    </row>
    <row r="100" spans="1:12" s="936" customFormat="1">
      <c r="A100" s="1082"/>
      <c r="B100" s="1170" t="s">
        <v>133</v>
      </c>
      <c r="C100" s="1150"/>
      <c r="D100" s="1150"/>
      <c r="E100" s="1150"/>
      <c r="F100" s="1168"/>
      <c r="G100" s="1168"/>
      <c r="H100" s="1168"/>
      <c r="I100" s="1168"/>
      <c r="J100" s="1168"/>
      <c r="K100" s="1168"/>
      <c r="L100" s="1079"/>
    </row>
    <row r="101" spans="1:12" s="936" customFormat="1">
      <c r="A101" s="1082"/>
      <c r="B101" s="1151"/>
      <c r="C101" s="1150"/>
      <c r="D101" s="1150"/>
      <c r="E101" s="1150"/>
      <c r="F101" s="1150"/>
      <c r="G101" s="1150"/>
      <c r="H101" s="1150"/>
      <c r="I101" s="1150"/>
      <c r="J101" s="1150"/>
      <c r="K101" s="1150"/>
      <c r="L101" s="1079"/>
    </row>
    <row r="102" spans="1:12" s="936" customFormat="1">
      <c r="A102" s="1082"/>
      <c r="L102" s="1079"/>
    </row>
    <row r="103" spans="1:12" s="936" customFormat="1">
      <c r="A103" s="1082"/>
      <c r="L103" s="1079"/>
    </row>
    <row r="104" spans="1:12" s="936" customFormat="1">
      <c r="A104" s="1082"/>
      <c r="L104" s="1079"/>
    </row>
    <row r="105" spans="1:12" s="936" customFormat="1">
      <c r="A105" s="1082"/>
      <c r="L105" s="1079"/>
    </row>
    <row r="106" spans="1:12" s="936" customFormat="1">
      <c r="A106" s="1082"/>
      <c r="L106" s="1079"/>
    </row>
    <row r="107" spans="1:12" s="936" customFormat="1">
      <c r="A107" s="1082"/>
      <c r="L107" s="1079"/>
    </row>
    <row r="108" spans="1:12" s="936" customFormat="1">
      <c r="A108" s="1082"/>
      <c r="L108" s="1079"/>
    </row>
    <row r="109" spans="1:12" s="936" customFormat="1">
      <c r="A109" s="1082"/>
      <c r="L109" s="1079"/>
    </row>
    <row r="110" spans="1:12" s="936" customFormat="1" ht="15" customHeight="1">
      <c r="A110" s="1082"/>
      <c r="L110" s="1079"/>
    </row>
    <row r="111" spans="1:12" s="936" customFormat="1" ht="15" customHeight="1">
      <c r="A111" s="1082"/>
      <c r="L111" s="1079"/>
    </row>
    <row r="112" spans="1:12" s="936" customFormat="1" ht="15" customHeight="1">
      <c r="A112" s="1082"/>
      <c r="L112" s="1079"/>
    </row>
    <row r="113" spans="1:12" s="936" customFormat="1" ht="15" customHeight="1">
      <c r="A113" s="1082"/>
      <c r="L113" s="1079"/>
    </row>
    <row r="114" spans="1:12" s="936" customFormat="1" ht="15" customHeight="1">
      <c r="A114" s="1082"/>
      <c r="L114" s="1079"/>
    </row>
    <row r="115" spans="1:12" s="936" customFormat="1" ht="15" customHeight="1">
      <c r="A115" s="1082"/>
      <c r="L115" s="1079"/>
    </row>
    <row r="116" spans="1:12" s="936" customFormat="1">
      <c r="A116" s="1082"/>
      <c r="L116" s="1079"/>
    </row>
    <row r="117" spans="1:12" s="936" customFormat="1">
      <c r="A117" s="1082"/>
      <c r="L117" s="1079"/>
    </row>
    <row r="118" spans="1:12" s="936" customFormat="1">
      <c r="A118" s="1082"/>
      <c r="L118" s="1079"/>
    </row>
    <row r="119" spans="1:12" s="936" customFormat="1">
      <c r="A119" s="1082"/>
      <c r="L119" s="1079"/>
    </row>
    <row r="120" spans="1:12" s="936" customFormat="1">
      <c r="A120" s="1082"/>
      <c r="G120" s="1081"/>
      <c r="H120" s="1080"/>
      <c r="L120" s="1079"/>
    </row>
    <row r="121" spans="1:12" s="936" customFormat="1">
      <c r="A121" s="1082"/>
      <c r="G121" s="1081"/>
      <c r="H121" s="1080"/>
      <c r="L121" s="1079"/>
    </row>
    <row r="122" spans="1:12" s="936" customFormat="1">
      <c r="A122" s="1082"/>
      <c r="G122" s="1081"/>
      <c r="H122" s="1080"/>
      <c r="L122" s="1079"/>
    </row>
    <row r="123" spans="1:12" s="936" customFormat="1">
      <c r="A123" s="1082"/>
      <c r="G123" s="1081"/>
      <c r="H123" s="1080"/>
      <c r="L123" s="1079"/>
    </row>
    <row r="124" spans="1:12" s="936" customFormat="1">
      <c r="A124" s="1082"/>
      <c r="G124" s="1081"/>
      <c r="H124" s="1080"/>
      <c r="L124" s="1079"/>
    </row>
    <row r="125" spans="1:12" s="936" customFormat="1">
      <c r="A125" s="1082"/>
      <c r="L125" s="1079"/>
    </row>
    <row r="126" spans="1:12" s="936" customFormat="1">
      <c r="A126" s="1082"/>
      <c r="L126" s="1079"/>
    </row>
    <row r="127" spans="1:12" s="936" customFormat="1">
      <c r="A127" s="1082"/>
      <c r="L127" s="1079"/>
    </row>
    <row r="128" spans="1:12" s="936" customFormat="1">
      <c r="A128" s="1082"/>
      <c r="L128" s="1079"/>
    </row>
    <row r="129" spans="1:12" s="936" customFormat="1">
      <c r="A129" s="1082"/>
      <c r="L129" s="1079"/>
    </row>
    <row r="130" spans="1:12" s="936" customFormat="1">
      <c r="A130" s="1082"/>
      <c r="L130" s="1079"/>
    </row>
    <row r="131" spans="1:12" s="936" customFormat="1">
      <c r="A131" s="1082"/>
      <c r="L131" s="1079"/>
    </row>
    <row r="132" spans="1:12" s="936" customFormat="1" ht="15.75" thickBot="1">
      <c r="A132" s="1149"/>
      <c r="L132" s="949"/>
    </row>
    <row r="133" spans="1:12" s="936" customFormat="1" ht="15" customHeight="1">
      <c r="A133" s="945"/>
      <c r="B133" s="1799" t="s">
        <v>181</v>
      </c>
      <c r="C133" s="1799"/>
      <c r="D133" s="1799"/>
      <c r="E133" s="1799"/>
      <c r="F133" s="1799"/>
      <c r="G133" s="1799"/>
      <c r="H133" s="1799"/>
      <c r="I133" s="1799"/>
      <c r="J133" s="1799"/>
      <c r="K133" s="1799"/>
      <c r="L133" s="943"/>
    </row>
    <row r="134" spans="1:12" s="936" customFormat="1">
      <c r="A134" s="942"/>
      <c r="B134" s="1800"/>
      <c r="C134" s="1800"/>
      <c r="D134" s="1800"/>
      <c r="E134" s="1800"/>
      <c r="F134" s="1800"/>
      <c r="G134" s="1800"/>
      <c r="H134" s="1800"/>
      <c r="I134" s="1800"/>
      <c r="J134" s="1800"/>
      <c r="K134" s="1800"/>
      <c r="L134" s="940"/>
    </row>
    <row r="135" spans="1:12" s="936" customFormat="1">
      <c r="A135" s="942"/>
      <c r="B135" s="1800"/>
      <c r="C135" s="1800"/>
      <c r="D135" s="1800"/>
      <c r="E135" s="1800"/>
      <c r="F135" s="1800"/>
      <c r="G135" s="1800"/>
      <c r="H135" s="1800"/>
      <c r="I135" s="1800"/>
      <c r="J135" s="1800"/>
      <c r="K135" s="1800"/>
      <c r="L135" s="940"/>
    </row>
    <row r="136" spans="1:12" s="936" customFormat="1" ht="15.75" thickBot="1">
      <c r="A136" s="939"/>
      <c r="B136" s="1801"/>
      <c r="C136" s="1801"/>
      <c r="D136" s="1801"/>
      <c r="E136" s="1801"/>
      <c r="F136" s="1801"/>
      <c r="G136" s="1801"/>
      <c r="H136" s="1801"/>
      <c r="I136" s="1801"/>
      <c r="J136" s="1801"/>
      <c r="K136" s="1801"/>
      <c r="L136" s="938"/>
    </row>
  </sheetData>
  <mergeCells count="53">
    <mergeCell ref="B68:B69"/>
    <mergeCell ref="B71:B72"/>
    <mergeCell ref="C12:D12"/>
    <mergeCell ref="B62:B63"/>
    <mergeCell ref="B60:D60"/>
    <mergeCell ref="C55:D55"/>
    <mergeCell ref="C56:D56"/>
    <mergeCell ref="C68:D68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C73:D73"/>
    <mergeCell ref="C72:D72"/>
    <mergeCell ref="C71:D71"/>
    <mergeCell ref="C70:D70"/>
    <mergeCell ref="C69:D69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B38A8814-C030-4709-9F5B-1ED47C1D8D3D}">
          <x14:formula1>
            <xm:f>margins!$AW$128:$AW$130</xm:f>
          </x14:formula1>
          <xm:sqref>O19</xm:sqref>
        </x14:dataValidation>
        <x14:dataValidation type="list" allowBlank="1" showInputMessage="1" showErrorMessage="1" xr:uid="{6392554E-ACF5-41E2-A985-32650E708A4E}">
          <x14:formula1>
            <xm:f>margins!$AW$146:$AW$148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margins!$AW$143:$AW$144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margins!$AW$139:$AW$141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margins!$AW$133:$AW$137</xm:f>
          </x14:formula1>
          <xm:sqref>O20</xm:sqref>
        </x14:dataValidation>
        <x14:dataValidation type="list" allowBlank="1" showInputMessage="1" showErrorMessage="1" xr:uid="{693E6A67-6455-40C9-9E74-96DEBC2B1A65}">
          <x14:formula1>
            <xm:f>margins!$AW$153:$AW$155</xm:f>
          </x14:formula1>
          <xm:sqref>O25</xm:sqref>
        </x14:dataValidation>
        <x14:dataValidation type="list" allowBlank="1" showInputMessage="1" showErrorMessage="1" xr:uid="{74A53E41-D044-4111-A883-426663A10A01}">
          <x14:formula1>
            <xm:f>margins!$AW$176:$AW$178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margins!$AW$157:$AW$163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margins!$AW$165:$AW$168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margins!$AW$170:$AW$174</xm:f>
          </x14:formula1>
          <xm:sqref>O17</xm:sqref>
        </x14:dataValidation>
        <x14:dataValidation type="list" allowBlank="1" showInputMessage="1" showErrorMessage="1" xr:uid="{68B03940-5912-42DA-885B-CA3DB582A6D9}">
          <x14:formula1>
            <xm:f>margins!$AW$149:$AW$151</xm:f>
          </x14:formula1>
          <xm:sqref>O24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topLeftCell="A39" zoomScaleNormal="130" workbookViewId="0">
      <selection activeCell="S58" sqref="S58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494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500</v>
      </c>
      <c r="J25" s="1674"/>
      <c r="K25" s="1674"/>
      <c r="L25" s="1674"/>
      <c r="M25" s="1674"/>
      <c r="N25" s="1674"/>
      <c r="O25" s="1874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87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499</v>
      </c>
      <c r="D28" s="1680"/>
      <c r="E28" s="1680"/>
      <c r="F28" s="1680"/>
      <c r="G28" s="1928"/>
      <c r="H28" s="317"/>
      <c r="I28" s="1681"/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496</v>
      </c>
      <c r="D29" s="345"/>
      <c r="E29" s="345"/>
      <c r="F29" s="115"/>
      <c r="G29" s="116" t="s">
        <v>171</v>
      </c>
      <c r="H29" s="317"/>
      <c r="I29" s="1681" t="s">
        <v>498</v>
      </c>
      <c r="J29" s="1664"/>
      <c r="K29" s="1664"/>
      <c r="L29" s="1664"/>
      <c r="M29" s="1664"/>
      <c r="N29" s="1664"/>
      <c r="O29" s="1876"/>
      <c r="P29" s="318"/>
      <c r="Q29" s="440"/>
    </row>
    <row r="30" spans="1:17" ht="9.9499999999999993" customHeight="1">
      <c r="A30" s="316"/>
      <c r="B30" s="351"/>
      <c r="C30" s="587" t="s">
        <v>497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60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6" t="s">
        <v>499</v>
      </c>
      <c r="G40" s="1666"/>
      <c r="H40" s="1666"/>
      <c r="I40" s="1666"/>
      <c r="J40" s="1666"/>
      <c r="K40" s="1666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187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188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189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42" t="s">
        <v>299</v>
      </c>
      <c r="F46" s="1643"/>
      <c r="G46" s="1643"/>
      <c r="H46" s="1643"/>
      <c r="I46" s="1643"/>
      <c r="J46" s="1643"/>
      <c r="K46" s="1643"/>
      <c r="L46" s="1644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>
      <c r="A50" s="316"/>
      <c r="B50" s="1868" t="s">
        <v>365</v>
      </c>
      <c r="C50" s="1869"/>
      <c r="D50" s="1869"/>
      <c r="E50" s="1869"/>
      <c r="F50" s="1869"/>
      <c r="G50" s="1869"/>
      <c r="H50" s="1869"/>
      <c r="I50" s="1869"/>
      <c r="J50" s="1869"/>
      <c r="K50" s="1869"/>
      <c r="L50" s="1869"/>
      <c r="M50" s="1869"/>
      <c r="N50" s="1869"/>
      <c r="O50" s="1870"/>
      <c r="P50" s="318"/>
    </row>
    <row r="51" spans="1:16">
      <c r="A51" s="316"/>
      <c r="B51" s="1868"/>
      <c r="C51" s="1869"/>
      <c r="D51" s="1869"/>
      <c r="E51" s="1869"/>
      <c r="F51" s="1869"/>
      <c r="G51" s="1869"/>
      <c r="H51" s="1869"/>
      <c r="I51" s="1869"/>
      <c r="J51" s="1869"/>
      <c r="K51" s="1869"/>
      <c r="L51" s="1869"/>
      <c r="M51" s="1869"/>
      <c r="N51" s="1869"/>
      <c r="O51" s="1870"/>
      <c r="P51" s="318"/>
    </row>
    <row r="52" spans="1:16" ht="9.9499999999999993" customHeight="1">
      <c r="A52" s="316"/>
      <c r="B52" s="1868"/>
      <c r="C52" s="1869"/>
      <c r="D52" s="1869"/>
      <c r="E52" s="1869"/>
      <c r="F52" s="1869"/>
      <c r="G52" s="1869"/>
      <c r="H52" s="1869"/>
      <c r="I52" s="1869"/>
      <c r="J52" s="1869"/>
      <c r="K52" s="1869"/>
      <c r="L52" s="1869"/>
      <c r="M52" s="1869"/>
      <c r="N52" s="1869"/>
      <c r="O52" s="1870"/>
      <c r="P52" s="318"/>
    </row>
    <row r="53" spans="1:16" ht="9.9499999999999993" customHeight="1">
      <c r="A53" s="343"/>
      <c r="B53" s="1868"/>
      <c r="C53" s="1869"/>
      <c r="D53" s="1869"/>
      <c r="E53" s="1869"/>
      <c r="F53" s="1869"/>
      <c r="G53" s="1869"/>
      <c r="H53" s="1869"/>
      <c r="I53" s="1869"/>
      <c r="J53" s="1869"/>
      <c r="K53" s="1869"/>
      <c r="L53" s="1869"/>
      <c r="M53" s="1869"/>
      <c r="N53" s="1869"/>
      <c r="O53" s="1870"/>
      <c r="P53" s="344"/>
    </row>
    <row r="54" spans="1:16" ht="9.9499999999999993" customHeight="1">
      <c r="A54" s="343"/>
      <c r="B54" s="1868"/>
      <c r="C54" s="1869"/>
      <c r="D54" s="1869"/>
      <c r="E54" s="1869"/>
      <c r="F54" s="1869"/>
      <c r="G54" s="1869"/>
      <c r="H54" s="1869"/>
      <c r="I54" s="1869"/>
      <c r="J54" s="1869"/>
      <c r="K54" s="1869"/>
      <c r="L54" s="1869"/>
      <c r="M54" s="1869"/>
      <c r="N54" s="1869"/>
      <c r="O54" s="1870"/>
      <c r="P54" s="344"/>
    </row>
    <row r="55" spans="1:16" ht="9.9499999999999993" customHeight="1">
      <c r="A55" s="343"/>
      <c r="B55" s="1868"/>
      <c r="C55" s="1869"/>
      <c r="D55" s="1869"/>
      <c r="E55" s="1869"/>
      <c r="F55" s="1869"/>
      <c r="G55" s="1869"/>
      <c r="H55" s="1869"/>
      <c r="I55" s="1869"/>
      <c r="J55" s="1869"/>
      <c r="K55" s="1869"/>
      <c r="L55" s="1869"/>
      <c r="M55" s="1869"/>
      <c r="N55" s="1869"/>
      <c r="O55" s="1870"/>
      <c r="P55" s="344"/>
    </row>
    <row r="56" spans="1:16" ht="9.9499999999999993" customHeight="1">
      <c r="A56" s="343"/>
      <c r="B56" s="1871"/>
      <c r="C56" s="1872"/>
      <c r="D56" s="1872"/>
      <c r="E56" s="1872"/>
      <c r="F56" s="1872"/>
      <c r="G56" s="1872"/>
      <c r="H56" s="1872"/>
      <c r="I56" s="1872"/>
      <c r="J56" s="1872"/>
      <c r="K56" s="1872"/>
      <c r="L56" s="1872"/>
      <c r="M56" s="1872"/>
      <c r="N56" s="1872"/>
      <c r="O56" s="1873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workbookViewId="0">
      <selection activeCell="S58" sqref="S58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636</v>
      </c>
      <c r="Q4" s="1"/>
      <c r="R4" s="1"/>
    </row>
    <row r="5" spans="3:23" ht="19.5">
      <c r="C5" s="9"/>
      <c r="D5" s="9"/>
      <c r="E5" s="9"/>
      <c r="I5" s="34"/>
      <c r="J5" s="34"/>
      <c r="K5" s="34"/>
      <c r="L5" s="34"/>
      <c r="M5" s="34"/>
      <c r="N5" s="30" t="s">
        <v>1</v>
      </c>
      <c r="Q5" s="1"/>
      <c r="R5" s="1"/>
    </row>
    <row r="6" spans="3:23" ht="15.75">
      <c r="C6" s="1891" t="s">
        <v>495</v>
      </c>
      <c r="D6" s="1891"/>
      <c r="E6" s="1891"/>
      <c r="F6" s="1891"/>
      <c r="G6" s="1891"/>
      <c r="H6" s="767"/>
      <c r="O6" s="1"/>
      <c r="Q6" s="1"/>
      <c r="R6" s="1"/>
    </row>
    <row r="7" spans="3:23" ht="15.75" thickBot="1">
      <c r="C7" s="10" t="s">
        <v>210</v>
      </c>
      <c r="D7" s="840" t="s">
        <v>482</v>
      </c>
      <c r="E7" s="840" t="s">
        <v>483</v>
      </c>
      <c r="F7" s="765" t="s">
        <v>484</v>
      </c>
      <c r="G7" s="11" t="s">
        <v>32</v>
      </c>
      <c r="I7" s="527" t="s">
        <v>2</v>
      </c>
      <c r="J7" s="27"/>
      <c r="K7"/>
      <c r="Q7" s="1"/>
      <c r="R7" s="1"/>
    </row>
    <row r="8" spans="3:23" ht="15.75" thickBot="1">
      <c r="C8" s="113">
        <f>margins!AT4</f>
        <v>0</v>
      </c>
      <c r="D8" s="862">
        <v>90.84</v>
      </c>
      <c r="E8" s="862">
        <v>90.84</v>
      </c>
      <c r="F8" s="766">
        <v>90.84</v>
      </c>
      <c r="G8" s="114">
        <v>90.84</v>
      </c>
      <c r="H8" s="15"/>
      <c r="I8" s="12" t="s">
        <v>6</v>
      </c>
      <c r="J8" s="13">
        <v>100</v>
      </c>
      <c r="K8"/>
      <c r="L8" s="851" t="s">
        <v>198</v>
      </c>
      <c r="M8" s="852" t="s">
        <v>489</v>
      </c>
      <c r="N8" s="852" t="s">
        <v>490</v>
      </c>
      <c r="O8" s="852" t="s">
        <v>491</v>
      </c>
      <c r="U8" s="424" t="s">
        <v>493</v>
      </c>
      <c r="V8" s="425"/>
      <c r="W8" s="1414">
        <v>46223.360266203701</v>
      </c>
    </row>
    <row r="9" spans="3:23" ht="15.75" thickBot="1">
      <c r="C9" s="113">
        <f>margins!AT5</f>
        <v>0.125</v>
      </c>
      <c r="D9" s="862">
        <v>91.22</v>
      </c>
      <c r="E9" s="862">
        <v>91.22</v>
      </c>
      <c r="F9" s="766">
        <v>91.22</v>
      </c>
      <c r="G9" s="114">
        <v>91.22</v>
      </c>
      <c r="H9" s="18"/>
      <c r="I9" s="16" t="s">
        <v>8</v>
      </c>
      <c r="J9" s="523">
        <v>0</v>
      </c>
      <c r="K9"/>
      <c r="L9" s="232" t="s">
        <v>777</v>
      </c>
      <c r="M9" s="843">
        <v>2</v>
      </c>
      <c r="N9" s="843">
        <v>13</v>
      </c>
      <c r="O9" s="844">
        <v>15</v>
      </c>
    </row>
    <row r="10" spans="3:23" ht="15.75" thickBot="1">
      <c r="C10" s="113">
        <f>margins!AT6</f>
        <v>0.25</v>
      </c>
      <c r="D10" s="862">
        <v>91.59</v>
      </c>
      <c r="E10" s="862">
        <v>91.59</v>
      </c>
      <c r="F10" s="766">
        <v>91.59</v>
      </c>
      <c r="G10" s="114">
        <v>91.59</v>
      </c>
      <c r="H10" s="18"/>
      <c r="I10" s="16" t="s">
        <v>10</v>
      </c>
      <c r="J10" s="639">
        <v>-0.375</v>
      </c>
      <c r="K10"/>
      <c r="L10" s="247" t="s">
        <v>778</v>
      </c>
      <c r="M10" s="269">
        <v>2</v>
      </c>
      <c r="N10" s="269">
        <v>18</v>
      </c>
      <c r="O10" s="845">
        <v>20</v>
      </c>
      <c r="R10" s="1"/>
      <c r="U10" s="441" t="s">
        <v>195</v>
      </c>
      <c r="V10" s="442" t="s">
        <v>196</v>
      </c>
      <c r="W10" s="442" t="s">
        <v>197</v>
      </c>
    </row>
    <row r="11" spans="3:23" ht="15.75" thickBot="1">
      <c r="C11" s="113">
        <f>margins!AT7</f>
        <v>0.375</v>
      </c>
      <c r="D11" s="862">
        <v>91.97</v>
      </c>
      <c r="E11" s="862">
        <v>91.97</v>
      </c>
      <c r="F11" s="766">
        <v>91.97</v>
      </c>
      <c r="G11" s="114">
        <v>91.97</v>
      </c>
      <c r="H11" s="18"/>
      <c r="I11" s="642"/>
      <c r="J11" s="643"/>
      <c r="K11"/>
      <c r="L11" s="247" t="s">
        <v>779</v>
      </c>
      <c r="M11" s="269">
        <v>2</v>
      </c>
      <c r="N11" s="269">
        <v>23</v>
      </c>
      <c r="O11" s="845">
        <v>25</v>
      </c>
      <c r="R11" s="1"/>
    </row>
    <row r="12" spans="3:23">
      <c r="C12" s="113">
        <f>margins!AT8</f>
        <v>0.5</v>
      </c>
      <c r="D12" s="862">
        <v>92.36</v>
      </c>
      <c r="E12" s="862">
        <v>92.36</v>
      </c>
      <c r="F12" s="766">
        <v>92.36</v>
      </c>
      <c r="G12" s="114">
        <v>92.36</v>
      </c>
      <c r="H12" s="18"/>
      <c r="I12" s="640" t="s">
        <v>300</v>
      </c>
      <c r="J12" s="641"/>
      <c r="K12"/>
      <c r="L12" s="247" t="s">
        <v>780</v>
      </c>
      <c r="M12" s="269">
        <v>2</v>
      </c>
      <c r="N12" s="269">
        <v>28</v>
      </c>
      <c r="O12" s="845">
        <v>30</v>
      </c>
      <c r="R12" s="1"/>
      <c r="U12" s="579" t="s">
        <v>198</v>
      </c>
      <c r="V12" s="431" t="s">
        <v>32</v>
      </c>
      <c r="W12" s="850">
        <f>IF(V12="15 Yr Fix",2,IF(V12="20 Yr Fix",3,IF(V12="25 Yr Fix",4,5)))</f>
        <v>5</v>
      </c>
    </row>
    <row r="13" spans="3:23">
      <c r="C13" s="113">
        <f>margins!AT9</f>
        <v>0.625</v>
      </c>
      <c r="D13" s="862">
        <v>92.77</v>
      </c>
      <c r="E13" s="862">
        <v>92.77</v>
      </c>
      <c r="F13" s="766">
        <v>92.77</v>
      </c>
      <c r="G13" s="114">
        <v>92.77</v>
      </c>
      <c r="H13" s="18"/>
      <c r="I13" s="31" t="s">
        <v>83</v>
      </c>
      <c r="J13" s="33">
        <v>-0.25</v>
      </c>
      <c r="K13"/>
      <c r="L13" s="247" t="s">
        <v>777</v>
      </c>
      <c r="M13" s="269">
        <v>3</v>
      </c>
      <c r="N13" s="269">
        <v>12</v>
      </c>
      <c r="O13" s="845">
        <v>15</v>
      </c>
      <c r="R13" s="1"/>
      <c r="U13" s="581" t="s">
        <v>210</v>
      </c>
      <c r="V13" s="432">
        <v>2.5</v>
      </c>
      <c r="W13" s="436">
        <f>VLOOKUP(V13,$C$8:$G$54,W12,FALSE)</f>
        <v>99.59</v>
      </c>
    </row>
    <row r="14" spans="3:23">
      <c r="C14" s="113">
        <f>margins!AT10</f>
        <v>0.75</v>
      </c>
      <c r="D14" s="862">
        <v>93.2</v>
      </c>
      <c r="E14" s="862">
        <v>93.2</v>
      </c>
      <c r="F14" s="766">
        <v>93.2</v>
      </c>
      <c r="G14" s="114">
        <v>93.2</v>
      </c>
      <c r="H14" s="18"/>
      <c r="I14" s="31" t="s">
        <v>84</v>
      </c>
      <c r="J14" s="33">
        <v>-0.32500000000000001</v>
      </c>
      <c r="K14"/>
      <c r="L14" s="247" t="s">
        <v>778</v>
      </c>
      <c r="M14" s="269">
        <v>3</v>
      </c>
      <c r="N14" s="269">
        <v>17</v>
      </c>
      <c r="O14" s="845">
        <v>20</v>
      </c>
      <c r="R14" s="1"/>
      <c r="U14" s="581" t="s">
        <v>353</v>
      </c>
      <c r="V14" s="432" t="s">
        <v>18</v>
      </c>
      <c r="W14" s="436"/>
    </row>
    <row r="15" spans="3:23" ht="15" customHeight="1">
      <c r="C15" s="113">
        <f>margins!AT11</f>
        <v>0.875</v>
      </c>
      <c r="D15" s="862">
        <v>93.64</v>
      </c>
      <c r="E15" s="862">
        <v>93.64</v>
      </c>
      <c r="F15" s="766">
        <v>93.64</v>
      </c>
      <c r="G15" s="114">
        <v>93.64</v>
      </c>
      <c r="H15" s="18"/>
      <c r="I15" s="31" t="s">
        <v>85</v>
      </c>
      <c r="J15" s="33">
        <v>-0.55000000000000004</v>
      </c>
      <c r="K15"/>
      <c r="L15" s="247" t="s">
        <v>779</v>
      </c>
      <c r="M15" s="269">
        <v>3</v>
      </c>
      <c r="N15" s="269">
        <v>22</v>
      </c>
      <c r="O15" s="845">
        <v>25</v>
      </c>
      <c r="U15" s="581" t="s">
        <v>200</v>
      </c>
      <c r="V15" s="432" t="s">
        <v>37</v>
      </c>
      <c r="W15" s="849"/>
    </row>
    <row r="16" spans="3:23" ht="15" customHeight="1">
      <c r="C16" s="113">
        <f>margins!AT12</f>
        <v>1</v>
      </c>
      <c r="D16" s="862">
        <v>94.09</v>
      </c>
      <c r="E16" s="862">
        <v>94.09</v>
      </c>
      <c r="F16" s="766">
        <v>94.09</v>
      </c>
      <c r="G16" s="114">
        <v>94.09</v>
      </c>
      <c r="H16" s="18"/>
      <c r="I16" s="31" t="s">
        <v>86</v>
      </c>
      <c r="J16" s="33">
        <v>-0.65</v>
      </c>
      <c r="L16" s="247" t="s">
        <v>780</v>
      </c>
      <c r="M16" s="269">
        <v>3</v>
      </c>
      <c r="N16" s="269">
        <v>27</v>
      </c>
      <c r="O16" s="845">
        <v>30</v>
      </c>
      <c r="U16" s="581" t="s">
        <v>486</v>
      </c>
      <c r="V16" s="432" t="s">
        <v>191</v>
      </c>
      <c r="W16" s="436">
        <f>IF(V16="Choose a Selection",0,(INDEX($K$30:$S$35,MATCH(V15,$J$30:$J$35,0),MATCH($V$14,$K$29:$S$29,0),1)))</f>
        <v>0</v>
      </c>
    </row>
    <row r="17" spans="3:23" ht="15" customHeight="1">
      <c r="C17" s="113">
        <f>margins!AT13</f>
        <v>1.125</v>
      </c>
      <c r="D17" s="862">
        <v>94.56</v>
      </c>
      <c r="E17" s="862">
        <v>94.56</v>
      </c>
      <c r="F17" s="766">
        <v>94.56</v>
      </c>
      <c r="G17" s="114">
        <v>94.56</v>
      </c>
      <c r="H17" s="18"/>
      <c r="I17" s="516" t="s">
        <v>299</v>
      </c>
      <c r="J17" s="32"/>
      <c r="L17" s="846" t="s">
        <v>777</v>
      </c>
      <c r="M17" s="269">
        <v>5</v>
      </c>
      <c r="N17" s="269">
        <v>10</v>
      </c>
      <c r="O17" s="845">
        <v>15</v>
      </c>
      <c r="P17" s="764" t="s">
        <v>454</v>
      </c>
      <c r="Q17" s="2052" t="s">
        <v>513</v>
      </c>
      <c r="R17" s="2052"/>
      <c r="S17" s="2052"/>
      <c r="T17" s="2053"/>
      <c r="U17" s="581" t="s">
        <v>508</v>
      </c>
      <c r="V17" s="432" t="s">
        <v>191</v>
      </c>
      <c r="W17" s="436">
        <f>IF(V17="Choose a Selection",0,(INDEX($K$36:$S$36,MATCH(V17,$J$36,0),MATCH($V$14,$K$29:$S$29,0),1)))</f>
        <v>0</v>
      </c>
    </row>
    <row r="18" spans="3:23" ht="15" customHeight="1">
      <c r="C18" s="113">
        <f>margins!AT14</f>
        <v>1.25</v>
      </c>
      <c r="D18" s="862">
        <v>95.03</v>
      </c>
      <c r="E18" s="862">
        <v>95.03</v>
      </c>
      <c r="F18" s="766">
        <v>95.03</v>
      </c>
      <c r="G18" s="114">
        <v>95.03</v>
      </c>
      <c r="H18" s="18"/>
      <c r="I18" s="641" t="s">
        <v>744</v>
      </c>
      <c r="L18" s="846" t="s">
        <v>778</v>
      </c>
      <c r="M18" s="269">
        <v>5</v>
      </c>
      <c r="N18" s="269">
        <v>15</v>
      </c>
      <c r="O18" s="845">
        <v>20</v>
      </c>
      <c r="U18" s="581" t="s">
        <v>509</v>
      </c>
      <c r="V18" s="432" t="s">
        <v>191</v>
      </c>
      <c r="W18" s="436">
        <f>IF(V18="Choose a Selection",0,(INDEX($K$37:$S$42,MATCH(V15,$J$37:$J$42,0),MATCH($V$14,$K$29:$S$29,0),1)))</f>
        <v>0</v>
      </c>
    </row>
    <row r="19" spans="3:23" ht="15" customHeight="1">
      <c r="C19" s="113">
        <f>margins!AT15</f>
        <v>1.375</v>
      </c>
      <c r="D19" s="862">
        <v>95.5</v>
      </c>
      <c r="E19" s="862">
        <v>95.5</v>
      </c>
      <c r="F19" s="766">
        <v>95.5</v>
      </c>
      <c r="G19" s="114">
        <v>95.5</v>
      </c>
      <c r="H19" s="18"/>
      <c r="I19" s="1542" t="s">
        <v>743</v>
      </c>
      <c r="L19" s="846" t="s">
        <v>779</v>
      </c>
      <c r="M19" s="269">
        <v>5</v>
      </c>
      <c r="N19" s="269">
        <v>20</v>
      </c>
      <c r="O19" s="845">
        <v>25</v>
      </c>
      <c r="P19" s="764" t="s">
        <v>454</v>
      </c>
      <c r="Q19" s="2052" t="s">
        <v>512</v>
      </c>
      <c r="R19" s="2052"/>
      <c r="S19" s="2052"/>
      <c r="T19" s="2053"/>
      <c r="U19" s="581" t="s">
        <v>507</v>
      </c>
      <c r="V19" s="432" t="s">
        <v>191</v>
      </c>
      <c r="W19" s="436">
        <f>IF(V19="Choose a Selection",0,(INDEX($K$43:$S$43,MATCH(V19,$J$43,0),MATCH($V$14,$K$29:$S$29,0),1)))</f>
        <v>0</v>
      </c>
    </row>
    <row r="20" spans="3:23" ht="15" customHeight="1">
      <c r="C20" s="113">
        <f>margins!AT16</f>
        <v>1.5</v>
      </c>
      <c r="D20" s="862">
        <v>95.91</v>
      </c>
      <c r="E20" s="862">
        <v>95.91</v>
      </c>
      <c r="F20" s="766">
        <v>95.91</v>
      </c>
      <c r="G20" s="114">
        <v>95.91</v>
      </c>
      <c r="H20" s="18"/>
      <c r="L20" s="847" t="s">
        <v>780</v>
      </c>
      <c r="M20" s="273">
        <v>5</v>
      </c>
      <c r="N20" s="273">
        <v>25</v>
      </c>
      <c r="O20" s="848">
        <v>30</v>
      </c>
      <c r="U20" s="581" t="s">
        <v>492</v>
      </c>
      <c r="V20" s="432" t="s">
        <v>191</v>
      </c>
      <c r="W20" s="436">
        <f t="shared" ref="W20:W25" si="0">IF(V20="Choose a Selection",0,(INDEX($K$30:$S$58,MATCH(V20,$J$30:$J$58,0),MATCH($V$14,$K$29:$S$29,0),1)))</f>
        <v>0</v>
      </c>
    </row>
    <row r="21" spans="3:23" ht="15" customHeight="1">
      <c r="C21" s="113">
        <f>margins!AT17</f>
        <v>1.625</v>
      </c>
      <c r="D21" s="862">
        <v>96.37</v>
      </c>
      <c r="E21" s="862">
        <v>96.37</v>
      </c>
      <c r="F21" s="766">
        <v>96.37</v>
      </c>
      <c r="G21" s="114">
        <v>96.37</v>
      </c>
      <c r="H21" s="18"/>
      <c r="I21" s="35" t="s">
        <v>303</v>
      </c>
      <c r="J21"/>
      <c r="K21"/>
      <c r="L21"/>
      <c r="M21"/>
      <c r="U21" s="581" t="s">
        <v>45</v>
      </c>
      <c r="V21" s="432" t="s">
        <v>191</v>
      </c>
      <c r="W21" s="436">
        <f t="shared" si="0"/>
        <v>0</v>
      </c>
    </row>
    <row r="22" spans="3:23" ht="15" customHeight="1">
      <c r="C22" s="113">
        <f>margins!AT18</f>
        <v>1.75</v>
      </c>
      <c r="D22" s="862">
        <v>96.84</v>
      </c>
      <c r="E22" s="862">
        <v>96.84</v>
      </c>
      <c r="F22" s="766">
        <v>96.84</v>
      </c>
      <c r="G22" s="114">
        <v>96.84</v>
      </c>
      <c r="H22" s="18"/>
      <c r="I22" s="526" t="s">
        <v>342</v>
      </c>
      <c r="J22" s="525"/>
      <c r="K22" s="525"/>
      <c r="L22" s="525"/>
      <c r="M22" s="524"/>
      <c r="U22" s="581" t="s">
        <v>279</v>
      </c>
      <c r="V22" s="432" t="s">
        <v>191</v>
      </c>
      <c r="W22" s="436">
        <f t="shared" si="0"/>
        <v>0</v>
      </c>
    </row>
    <row r="23" spans="3:23" ht="15" customHeight="1">
      <c r="C23" s="113">
        <f>margins!AT19</f>
        <v>1.875</v>
      </c>
      <c r="D23" s="862">
        <v>97.31</v>
      </c>
      <c r="E23" s="862">
        <v>97.31</v>
      </c>
      <c r="F23" s="766">
        <v>97.31</v>
      </c>
      <c r="G23" s="114">
        <v>97.31</v>
      </c>
      <c r="H23" s="18"/>
      <c r="I23" s="82" t="s">
        <v>525</v>
      </c>
      <c r="J23"/>
      <c r="K23"/>
      <c r="L23"/>
      <c r="M23" s="522"/>
      <c r="U23" s="581" t="s">
        <v>60</v>
      </c>
      <c r="V23" s="432" t="s">
        <v>191</v>
      </c>
      <c r="W23" s="436">
        <f t="shared" si="0"/>
        <v>0</v>
      </c>
    </row>
    <row r="24" spans="3:23" ht="15" customHeight="1">
      <c r="C24" s="113">
        <f>margins!AT20</f>
        <v>2</v>
      </c>
      <c r="D24" s="862">
        <v>97.78</v>
      </c>
      <c r="E24" s="862">
        <v>97.78</v>
      </c>
      <c r="F24" s="766">
        <v>97.78</v>
      </c>
      <c r="G24" s="114">
        <v>97.78</v>
      </c>
      <c r="H24" s="18"/>
      <c r="I24" s="82" t="s">
        <v>302</v>
      </c>
      <c r="J24"/>
      <c r="K24"/>
      <c r="L24"/>
      <c r="M24" s="522"/>
      <c r="U24" s="581" t="s">
        <v>62</v>
      </c>
      <c r="V24" s="432" t="s">
        <v>191</v>
      </c>
      <c r="W24" s="436">
        <f t="shared" si="0"/>
        <v>0</v>
      </c>
    </row>
    <row r="25" spans="3:23" ht="15" customHeight="1">
      <c r="C25" s="113">
        <f>margins!AT21</f>
        <v>2.125</v>
      </c>
      <c r="D25" s="862">
        <v>98.25</v>
      </c>
      <c r="E25" s="862">
        <v>98.25</v>
      </c>
      <c r="F25" s="766">
        <v>98.25</v>
      </c>
      <c r="G25" s="114">
        <v>98.25</v>
      </c>
      <c r="H25" s="18"/>
      <c r="I25" s="82" t="s">
        <v>301</v>
      </c>
      <c r="J25"/>
      <c r="K25"/>
      <c r="L25"/>
      <c r="M25" s="522"/>
      <c r="U25" s="581" t="s">
        <v>133</v>
      </c>
      <c r="V25" s="432" t="s">
        <v>191</v>
      </c>
      <c r="W25" s="436">
        <f t="shared" si="0"/>
        <v>0</v>
      </c>
    </row>
    <row r="26" spans="3:23" ht="15" customHeight="1">
      <c r="C26" s="113">
        <f>margins!AT22</f>
        <v>2.25</v>
      </c>
      <c r="D26" s="862">
        <v>98.72</v>
      </c>
      <c r="E26" s="862">
        <v>98.72</v>
      </c>
      <c r="F26" s="766">
        <v>98.72</v>
      </c>
      <c r="G26" s="114">
        <v>98.72</v>
      </c>
      <c r="H26" s="18"/>
      <c r="I26" s="521" t="s">
        <v>485</v>
      </c>
      <c r="J26" s="854">
        <v>6.75</v>
      </c>
      <c r="K26" s="853"/>
      <c r="L26" s="520"/>
      <c r="M26" s="519"/>
      <c r="U26" s="581" t="s">
        <v>205</v>
      </c>
      <c r="V26" s="432">
        <v>15</v>
      </c>
      <c r="W26" s="436">
        <f>IF(V26=15,0,J10)</f>
        <v>0</v>
      </c>
    </row>
    <row r="27" spans="3:23" ht="15" customHeight="1">
      <c r="C27" s="113">
        <f>margins!AT23</f>
        <v>2.375</v>
      </c>
      <c r="D27" s="862">
        <v>99.19</v>
      </c>
      <c r="E27" s="862">
        <v>99.19</v>
      </c>
      <c r="F27" s="766">
        <v>99.19</v>
      </c>
      <c r="G27" s="114">
        <v>99.19</v>
      </c>
      <c r="H27" s="18"/>
      <c r="U27" s="1543" t="s">
        <v>669</v>
      </c>
      <c r="V27" s="432" t="s">
        <v>191</v>
      </c>
      <c r="W27" s="436">
        <f>IF(V27="Loan Amount &gt;=100,000", 0.5, 0)</f>
        <v>0</v>
      </c>
    </row>
    <row r="28" spans="3:23" ht="15" customHeight="1">
      <c r="C28" s="113">
        <f>margins!AT24</f>
        <v>2.5</v>
      </c>
      <c r="D28" s="862">
        <v>99.59</v>
      </c>
      <c r="E28" s="862">
        <v>99.59</v>
      </c>
      <c r="F28" s="766">
        <v>99.59</v>
      </c>
      <c r="G28" s="114">
        <v>99.59</v>
      </c>
      <c r="H28" s="18"/>
      <c r="I28" s="1879" t="s">
        <v>216</v>
      </c>
      <c r="J28" s="2051"/>
      <c r="K28" s="1881" t="s">
        <v>298</v>
      </c>
      <c r="L28" s="1882"/>
      <c r="M28" s="1882"/>
      <c r="N28" s="1882"/>
      <c r="O28" s="1882"/>
      <c r="P28" s="1882"/>
      <c r="Q28" s="1882"/>
      <c r="R28" s="1882"/>
      <c r="S28" s="1883"/>
      <c r="U28" s="856" t="s">
        <v>206</v>
      </c>
      <c r="V28" s="857"/>
      <c r="W28" s="436">
        <f>SUM(W16:W26)</f>
        <v>0</v>
      </c>
    </row>
    <row r="29" spans="3:23" ht="15" customHeight="1" thickBot="1">
      <c r="C29" s="113">
        <f>margins!AT25</f>
        <v>2.625</v>
      </c>
      <c r="D29" s="862">
        <v>99.97</v>
      </c>
      <c r="E29" s="862">
        <v>99.97</v>
      </c>
      <c r="F29" s="766">
        <v>99.97</v>
      </c>
      <c r="G29" s="114">
        <v>99.97</v>
      </c>
      <c r="H29" s="18"/>
      <c r="I29" s="92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55" t="s">
        <v>23</v>
      </c>
      <c r="U29" s="858" t="s">
        <v>504</v>
      </c>
      <c r="V29" s="859">
        <f>V13+J26</f>
        <v>9.25</v>
      </c>
      <c r="W29" s="860"/>
    </row>
    <row r="30" spans="3:23" ht="15" customHeight="1" thickBot="1">
      <c r="C30" s="113">
        <f>margins!AT26</f>
        <v>2.75</v>
      </c>
      <c r="D30" s="862">
        <v>100.34</v>
      </c>
      <c r="E30" s="862">
        <v>100.34</v>
      </c>
      <c r="F30" s="766">
        <v>100.34</v>
      </c>
      <c r="G30" s="114">
        <v>100.34</v>
      </c>
      <c r="H30" s="18"/>
      <c r="I30" s="1884" t="s">
        <v>486</v>
      </c>
      <c r="J30" s="656" t="s">
        <v>37</v>
      </c>
      <c r="K30" s="657">
        <v>2.5</v>
      </c>
      <c r="L30" s="658">
        <v>2.5</v>
      </c>
      <c r="M30" s="659">
        <v>2</v>
      </c>
      <c r="N30" s="659">
        <v>2</v>
      </c>
      <c r="O30" s="659">
        <v>1.5</v>
      </c>
      <c r="P30" s="659">
        <v>0.5</v>
      </c>
      <c r="Q30" s="659">
        <v>0</v>
      </c>
      <c r="R30" s="659">
        <v>-3.5</v>
      </c>
      <c r="S30" s="660">
        <v>-4.5</v>
      </c>
      <c r="U30" s="420"/>
      <c r="V30" s="421"/>
      <c r="W30" s="430"/>
    </row>
    <row r="31" spans="3:23" ht="15" customHeight="1" thickBot="1">
      <c r="C31" s="113">
        <f>margins!AT27</f>
        <v>2.875</v>
      </c>
      <c r="D31" s="862">
        <v>100.72</v>
      </c>
      <c r="E31" s="862">
        <v>100.72</v>
      </c>
      <c r="F31" s="766">
        <v>100.72</v>
      </c>
      <c r="G31" s="114">
        <v>100.72</v>
      </c>
      <c r="H31" s="18"/>
      <c r="I31" s="1885"/>
      <c r="J31" s="503" t="s">
        <v>293</v>
      </c>
      <c r="K31" s="488">
        <v>1.5</v>
      </c>
      <c r="L31" s="487">
        <v>1.5</v>
      </c>
      <c r="M31" s="501">
        <v>1.5</v>
      </c>
      <c r="N31" s="501">
        <v>1.5</v>
      </c>
      <c r="O31" s="501">
        <v>1</v>
      </c>
      <c r="P31" s="501">
        <v>0</v>
      </c>
      <c r="Q31" s="501">
        <v>-1</v>
      </c>
      <c r="R31" s="501">
        <v>-5</v>
      </c>
      <c r="S31" s="505">
        <v>-6</v>
      </c>
      <c r="U31" s="422" t="s">
        <v>207</v>
      </c>
      <c r="V31" s="423"/>
      <c r="W31" s="584">
        <f>IF(ISNUMBER(MATCH("NA", W16:W26, 0)), "NA",MIN(J8,(W13+W28)))</f>
        <v>99.59</v>
      </c>
    </row>
    <row r="32" spans="3:23" ht="15" customHeight="1" thickBot="1">
      <c r="C32" s="113">
        <f>margins!AT28</f>
        <v>3</v>
      </c>
      <c r="D32" s="862">
        <v>101.09</v>
      </c>
      <c r="E32" s="862">
        <v>101.09</v>
      </c>
      <c r="F32" s="766">
        <v>101.09</v>
      </c>
      <c r="G32" s="114">
        <v>101.09</v>
      </c>
      <c r="H32" s="18"/>
      <c r="I32" s="1885"/>
      <c r="J32" s="503" t="s">
        <v>292</v>
      </c>
      <c r="K32" s="502">
        <v>1</v>
      </c>
      <c r="L32" s="501">
        <v>1</v>
      </c>
      <c r="M32" s="501">
        <v>1</v>
      </c>
      <c r="N32" s="501">
        <v>1</v>
      </c>
      <c r="O32" s="501">
        <v>0</v>
      </c>
      <c r="P32" s="501">
        <v>0</v>
      </c>
      <c r="Q32" s="501">
        <v>-2</v>
      </c>
      <c r="R32" s="501">
        <v>-6</v>
      </c>
      <c r="S32" s="505">
        <v>-8</v>
      </c>
      <c r="U32" s="417"/>
      <c r="V32" s="417"/>
      <c r="W32" s="417"/>
    </row>
    <row r="33" spans="2:23" ht="15" customHeight="1" thickBot="1">
      <c r="C33" s="113">
        <f>margins!AT29</f>
        <v>3.125</v>
      </c>
      <c r="D33" s="862">
        <v>101.44</v>
      </c>
      <c r="E33" s="862">
        <v>101.44</v>
      </c>
      <c r="F33" s="766">
        <v>101.44</v>
      </c>
      <c r="G33" s="114">
        <v>101.44</v>
      </c>
      <c r="H33" s="18"/>
      <c r="I33" s="1885"/>
      <c r="J33" s="503" t="s">
        <v>291</v>
      </c>
      <c r="K33" s="502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-1</v>
      </c>
      <c r="Q33" s="501">
        <v>-3</v>
      </c>
      <c r="R33" s="501">
        <v>-7.5</v>
      </c>
      <c r="S33" s="505" t="s">
        <v>14</v>
      </c>
      <c r="U33" s="746" t="s">
        <v>501</v>
      </c>
      <c r="V33" s="747"/>
      <c r="W33" s="748"/>
    </row>
    <row r="34" spans="2:23">
      <c r="C34" s="113">
        <f>margins!AT30</f>
        <v>3.25</v>
      </c>
      <c r="D34" s="862">
        <v>101.75</v>
      </c>
      <c r="E34" s="862">
        <v>101.75</v>
      </c>
      <c r="F34" s="766">
        <v>101.75</v>
      </c>
      <c r="G34" s="114">
        <v>101.75</v>
      </c>
      <c r="H34" s="18"/>
      <c r="I34" s="1885"/>
      <c r="J34" s="654" t="s">
        <v>290</v>
      </c>
      <c r="K34" s="644">
        <v>-0.5</v>
      </c>
      <c r="L34" s="645">
        <v>-0.5</v>
      </c>
      <c r="M34" s="645">
        <v>-0.5</v>
      </c>
      <c r="N34" s="645">
        <v>-1</v>
      </c>
      <c r="O34" s="645">
        <v>-1.5</v>
      </c>
      <c r="P34" s="645">
        <v>-2</v>
      </c>
      <c r="Q34" s="645">
        <v>-5.5</v>
      </c>
      <c r="R34" s="645">
        <v>-8.5</v>
      </c>
      <c r="S34" s="646" t="s">
        <v>14</v>
      </c>
    </row>
    <row r="35" spans="2:23">
      <c r="C35" s="113">
        <f>margins!AT31</f>
        <v>3.375</v>
      </c>
      <c r="D35" s="862">
        <v>102.03</v>
      </c>
      <c r="E35" s="862">
        <v>102.03</v>
      </c>
      <c r="F35" s="766">
        <v>102.03</v>
      </c>
      <c r="G35" s="114">
        <v>102.03</v>
      </c>
      <c r="H35" s="18"/>
      <c r="I35" s="1886"/>
      <c r="J35" s="499" t="s">
        <v>289</v>
      </c>
      <c r="K35" s="498">
        <v>-0.75</v>
      </c>
      <c r="L35" s="497">
        <v>-0.75</v>
      </c>
      <c r="M35" s="497">
        <v>-1</v>
      </c>
      <c r="N35" s="497">
        <v>-1.5</v>
      </c>
      <c r="O35" s="497">
        <v>-2</v>
      </c>
      <c r="P35" s="497">
        <v>-3</v>
      </c>
      <c r="Q35" s="497" t="s">
        <v>14</v>
      </c>
      <c r="R35" s="497" t="s">
        <v>14</v>
      </c>
      <c r="S35" s="511" t="s">
        <v>14</v>
      </c>
    </row>
    <row r="36" spans="2:23">
      <c r="C36" s="113">
        <f>margins!AT32</f>
        <v>3.5</v>
      </c>
      <c r="D36" s="862">
        <v>102.28</v>
      </c>
      <c r="E36" s="862">
        <v>102.28</v>
      </c>
      <c r="F36" s="766">
        <v>102.28</v>
      </c>
      <c r="G36" s="114">
        <v>102.28</v>
      </c>
      <c r="H36" s="18"/>
      <c r="I36" s="863" t="s">
        <v>505</v>
      </c>
      <c r="J36" s="629" t="s">
        <v>508</v>
      </c>
      <c r="K36" s="868">
        <v>0</v>
      </c>
      <c r="L36" s="869">
        <v>0</v>
      </c>
      <c r="M36" s="756">
        <v>0</v>
      </c>
      <c r="N36" s="756">
        <v>0</v>
      </c>
      <c r="O36" s="756">
        <v>0</v>
      </c>
      <c r="P36" s="756">
        <v>0</v>
      </c>
      <c r="Q36" s="756">
        <v>0</v>
      </c>
      <c r="R36" s="756">
        <v>0</v>
      </c>
      <c r="S36" s="757">
        <v>0</v>
      </c>
    </row>
    <row r="37" spans="2:23">
      <c r="C37" s="113">
        <f>margins!AT33</f>
        <v>3.625</v>
      </c>
      <c r="D37" s="862">
        <v>102.5</v>
      </c>
      <c r="E37" s="862">
        <v>102.5</v>
      </c>
      <c r="F37" s="766">
        <v>102.5</v>
      </c>
      <c r="G37" s="114">
        <v>102.5</v>
      </c>
      <c r="I37" s="1884" t="s">
        <v>509</v>
      </c>
      <c r="J37" s="656" t="s">
        <v>37</v>
      </c>
      <c r="K37" s="657">
        <v>2</v>
      </c>
      <c r="L37" s="658">
        <v>2</v>
      </c>
      <c r="M37" s="659">
        <v>1.5</v>
      </c>
      <c r="N37" s="659">
        <v>1.5</v>
      </c>
      <c r="O37" s="659">
        <v>1</v>
      </c>
      <c r="P37" s="659">
        <v>0</v>
      </c>
      <c r="Q37" s="659">
        <v>-0.5</v>
      </c>
      <c r="R37" s="659" t="s">
        <v>14</v>
      </c>
      <c r="S37" s="660" t="s">
        <v>14</v>
      </c>
    </row>
    <row r="38" spans="2:23">
      <c r="C38" s="113">
        <f>margins!AT34</f>
        <v>3.75</v>
      </c>
      <c r="D38" s="862">
        <v>102.69</v>
      </c>
      <c r="E38" s="862">
        <v>102.69</v>
      </c>
      <c r="F38" s="766">
        <v>102.69</v>
      </c>
      <c r="G38" s="114">
        <v>102.69</v>
      </c>
      <c r="I38" s="1885"/>
      <c r="J38" s="503" t="s">
        <v>293</v>
      </c>
      <c r="K38" s="488">
        <v>1</v>
      </c>
      <c r="L38" s="487">
        <v>1</v>
      </c>
      <c r="M38" s="501">
        <v>1</v>
      </c>
      <c r="N38" s="501">
        <v>1</v>
      </c>
      <c r="O38" s="501">
        <v>0.5</v>
      </c>
      <c r="P38" s="501">
        <v>-0.5</v>
      </c>
      <c r="Q38" s="501">
        <v>-1.5</v>
      </c>
      <c r="R38" s="501" t="s">
        <v>14</v>
      </c>
      <c r="S38" s="505" t="s">
        <v>14</v>
      </c>
    </row>
    <row r="39" spans="2:23">
      <c r="C39" s="113">
        <f>margins!AT35</f>
        <v>3.875</v>
      </c>
      <c r="D39" s="862">
        <v>102.84</v>
      </c>
      <c r="E39" s="862">
        <v>102.84</v>
      </c>
      <c r="F39" s="766">
        <v>102.84</v>
      </c>
      <c r="G39" s="114">
        <v>102.84</v>
      </c>
      <c r="I39" s="1885"/>
      <c r="J39" s="503" t="s">
        <v>292</v>
      </c>
      <c r="K39" s="502">
        <v>0.5</v>
      </c>
      <c r="L39" s="501">
        <v>0.5</v>
      </c>
      <c r="M39" s="501">
        <v>0.5</v>
      </c>
      <c r="N39" s="501">
        <v>0.5</v>
      </c>
      <c r="O39" s="501">
        <v>-0.5</v>
      </c>
      <c r="P39" s="501">
        <v>-0.5</v>
      </c>
      <c r="Q39" s="501">
        <v>-2.5</v>
      </c>
      <c r="R39" s="501" t="s">
        <v>14</v>
      </c>
      <c r="S39" s="505" t="s">
        <v>14</v>
      </c>
    </row>
    <row r="40" spans="2:23">
      <c r="C40" s="113">
        <f>margins!AT36</f>
        <v>4</v>
      </c>
      <c r="D40" s="862">
        <v>103</v>
      </c>
      <c r="E40" s="862">
        <v>103</v>
      </c>
      <c r="F40" s="766">
        <v>103</v>
      </c>
      <c r="G40" s="114">
        <v>103</v>
      </c>
      <c r="I40" s="1885"/>
      <c r="J40" s="503" t="s">
        <v>291</v>
      </c>
      <c r="K40" s="502">
        <v>-0.5</v>
      </c>
      <c r="L40" s="501">
        <v>-0.5</v>
      </c>
      <c r="M40" s="501">
        <v>-0.5</v>
      </c>
      <c r="N40" s="501">
        <v>-0.5</v>
      </c>
      <c r="O40" s="501">
        <v>-0.5</v>
      </c>
      <c r="P40" s="501">
        <v>-1.5</v>
      </c>
      <c r="Q40" s="501" t="s">
        <v>14</v>
      </c>
      <c r="R40" s="501" t="s">
        <v>14</v>
      </c>
      <c r="S40" s="505" t="s">
        <v>14</v>
      </c>
    </row>
    <row r="41" spans="2:23" ht="15" customHeight="1">
      <c r="C41" s="113">
        <f>margins!AT37</f>
        <v>4.125</v>
      </c>
      <c r="D41" s="862">
        <v>103.16</v>
      </c>
      <c r="E41" s="862">
        <v>103.16</v>
      </c>
      <c r="F41" s="766">
        <v>103.16</v>
      </c>
      <c r="G41" s="114">
        <v>103.16</v>
      </c>
      <c r="I41" s="1885"/>
      <c r="J41" s="654" t="s">
        <v>290</v>
      </c>
      <c r="K41" s="644">
        <v>-1</v>
      </c>
      <c r="L41" s="645">
        <v>-1</v>
      </c>
      <c r="M41" s="645">
        <v>-1</v>
      </c>
      <c r="N41" s="645">
        <v>-1.5</v>
      </c>
      <c r="O41" s="645">
        <v>-2</v>
      </c>
      <c r="P41" s="645">
        <v>-2.5</v>
      </c>
      <c r="Q41" s="645" t="s">
        <v>14</v>
      </c>
      <c r="R41" s="645" t="s">
        <v>14</v>
      </c>
      <c r="S41" s="646" t="s">
        <v>14</v>
      </c>
    </row>
    <row r="42" spans="2:23">
      <c r="C42" s="113">
        <f>margins!AT38</f>
        <v>4.25</v>
      </c>
      <c r="D42" s="862">
        <v>103.28</v>
      </c>
      <c r="E42" s="862">
        <v>103.28</v>
      </c>
      <c r="F42" s="766">
        <v>103.28</v>
      </c>
      <c r="G42" s="114">
        <v>103.28</v>
      </c>
      <c r="I42" s="1886"/>
      <c r="J42" s="499" t="s">
        <v>289</v>
      </c>
      <c r="K42" s="498" t="s">
        <v>14</v>
      </c>
      <c r="L42" s="497" t="s">
        <v>14</v>
      </c>
      <c r="M42" s="497" t="s">
        <v>14</v>
      </c>
      <c r="N42" s="497" t="s">
        <v>14</v>
      </c>
      <c r="O42" s="497" t="s">
        <v>14</v>
      </c>
      <c r="P42" s="497" t="s">
        <v>14</v>
      </c>
      <c r="Q42" s="497" t="s">
        <v>14</v>
      </c>
      <c r="R42" s="497" t="s">
        <v>14</v>
      </c>
      <c r="S42" s="511" t="s">
        <v>14</v>
      </c>
    </row>
    <row r="43" spans="2:23">
      <c r="C43" s="113">
        <f>margins!AT39</f>
        <v>4.375</v>
      </c>
      <c r="D43" s="862">
        <v>103.34</v>
      </c>
      <c r="E43" s="862">
        <v>103.34</v>
      </c>
      <c r="F43" s="766">
        <v>103.34</v>
      </c>
      <c r="G43" s="114">
        <v>103.34</v>
      </c>
      <c r="I43" s="863" t="s">
        <v>506</v>
      </c>
      <c r="J43" s="629" t="s">
        <v>507</v>
      </c>
      <c r="K43" s="657">
        <v>-1</v>
      </c>
      <c r="L43" s="658">
        <v>-1</v>
      </c>
      <c r="M43" s="659">
        <v>-1</v>
      </c>
      <c r="N43" s="659">
        <v>-1</v>
      </c>
      <c r="O43" s="659">
        <v>-1</v>
      </c>
      <c r="P43" s="659">
        <v>-1</v>
      </c>
      <c r="Q43" s="659">
        <v>-1</v>
      </c>
      <c r="R43" s="659" t="s">
        <v>14</v>
      </c>
      <c r="S43" s="660" t="s">
        <v>14</v>
      </c>
      <c r="T43" s="36"/>
    </row>
    <row r="44" spans="2:23" ht="15" customHeight="1">
      <c r="C44" s="113">
        <f>margins!AT40</f>
        <v>4.5</v>
      </c>
      <c r="D44" s="862">
        <v>103.37</v>
      </c>
      <c r="E44" s="862">
        <v>103.37</v>
      </c>
      <c r="F44" s="766">
        <v>103.37</v>
      </c>
      <c r="G44" s="114">
        <v>103.37</v>
      </c>
      <c r="I44" s="1877" t="s">
        <v>492</v>
      </c>
      <c r="J44" s="841">
        <v>24</v>
      </c>
      <c r="K44" s="490">
        <v>2</v>
      </c>
      <c r="L44" s="480">
        <v>2</v>
      </c>
      <c r="M44" s="480">
        <v>2</v>
      </c>
      <c r="N44" s="480">
        <v>2</v>
      </c>
      <c r="O44" s="480">
        <v>2</v>
      </c>
      <c r="P44" s="480">
        <v>2</v>
      </c>
      <c r="Q44" s="480">
        <v>2</v>
      </c>
      <c r="R44" s="480">
        <v>0</v>
      </c>
      <c r="S44" s="622">
        <v>0</v>
      </c>
      <c r="T44" s="36"/>
    </row>
    <row r="45" spans="2:23">
      <c r="B45" s="22"/>
      <c r="C45" s="113">
        <f>margins!AT41</f>
        <v>4.625</v>
      </c>
      <c r="D45" s="862">
        <v>103.39</v>
      </c>
      <c r="E45" s="862">
        <v>103.39</v>
      </c>
      <c r="F45" s="766">
        <v>103.39</v>
      </c>
      <c r="G45" s="114">
        <v>103.39</v>
      </c>
      <c r="I45" s="1897"/>
      <c r="J45" s="842">
        <v>36</v>
      </c>
      <c r="K45" s="488">
        <v>1.5</v>
      </c>
      <c r="L45" s="487">
        <v>1.5</v>
      </c>
      <c r="M45" s="487">
        <v>1.5</v>
      </c>
      <c r="N45" s="487">
        <v>1.5</v>
      </c>
      <c r="O45" s="487">
        <v>1.5</v>
      </c>
      <c r="P45" s="487">
        <v>1.5</v>
      </c>
      <c r="Q45" s="487">
        <v>1.5</v>
      </c>
      <c r="R45" s="487">
        <v>0</v>
      </c>
      <c r="S45" s="623">
        <v>0</v>
      </c>
      <c r="T45" s="36"/>
    </row>
    <row r="46" spans="2:23" ht="15" customHeight="1">
      <c r="C46" s="113">
        <f>margins!AT42</f>
        <v>4.75</v>
      </c>
      <c r="D46" s="862">
        <v>103.41</v>
      </c>
      <c r="E46" s="862">
        <v>103.41</v>
      </c>
      <c r="F46" s="766">
        <v>103.41</v>
      </c>
      <c r="G46" s="114">
        <v>103.41</v>
      </c>
      <c r="I46" s="1878"/>
      <c r="J46" s="842">
        <v>60</v>
      </c>
      <c r="K46" s="488">
        <v>0</v>
      </c>
      <c r="L46" s="487">
        <v>0</v>
      </c>
      <c r="M46" s="487">
        <v>0</v>
      </c>
      <c r="N46" s="487">
        <v>0</v>
      </c>
      <c r="O46" s="487">
        <v>0</v>
      </c>
      <c r="P46" s="487">
        <v>0</v>
      </c>
      <c r="Q46" s="487">
        <v>0</v>
      </c>
      <c r="R46" s="487">
        <v>0</v>
      </c>
      <c r="S46" s="623">
        <v>0</v>
      </c>
      <c r="T46" s="36"/>
    </row>
    <row r="47" spans="2:23">
      <c r="C47" s="113">
        <f>margins!AT43</f>
        <v>4.875</v>
      </c>
      <c r="D47" s="862">
        <v>103.43</v>
      </c>
      <c r="E47" s="862">
        <v>103.43</v>
      </c>
      <c r="F47" s="766">
        <v>103.43</v>
      </c>
      <c r="G47" s="114">
        <v>103.43</v>
      </c>
      <c r="I47" s="1892" t="s">
        <v>45</v>
      </c>
      <c r="J47" s="539" t="s">
        <v>374</v>
      </c>
      <c r="K47" s="473">
        <v>0</v>
      </c>
      <c r="L47" s="472">
        <v>0</v>
      </c>
      <c r="M47" s="472">
        <v>0</v>
      </c>
      <c r="N47" s="472">
        <v>0</v>
      </c>
      <c r="O47" s="472">
        <v>0</v>
      </c>
      <c r="P47" s="472">
        <v>0</v>
      </c>
      <c r="Q47" s="472">
        <v>0</v>
      </c>
      <c r="R47" s="472">
        <v>0</v>
      </c>
      <c r="S47" s="626">
        <v>0</v>
      </c>
    </row>
    <row r="48" spans="2:23">
      <c r="C48" s="113">
        <f>margins!AT44</f>
        <v>5</v>
      </c>
      <c r="D48" s="862">
        <v>103.45</v>
      </c>
      <c r="E48" s="862">
        <v>103.45</v>
      </c>
      <c r="F48" s="766">
        <v>103.45</v>
      </c>
      <c r="G48" s="114">
        <v>103.45</v>
      </c>
      <c r="I48" s="1893"/>
      <c r="J48" s="486" t="s">
        <v>375</v>
      </c>
      <c r="K48" s="461">
        <v>0</v>
      </c>
      <c r="L48" s="460">
        <v>0</v>
      </c>
      <c r="M48" s="460">
        <v>0</v>
      </c>
      <c r="N48" s="460">
        <v>-0.125</v>
      </c>
      <c r="O48" s="460">
        <v>-0.125</v>
      </c>
      <c r="P48" s="460">
        <v>-0.125</v>
      </c>
      <c r="Q48" s="460">
        <v>-0.125</v>
      </c>
      <c r="R48" s="460">
        <v>-0.125</v>
      </c>
      <c r="S48" s="459">
        <v>-0.125</v>
      </c>
    </row>
    <row r="49" spans="3:19">
      <c r="C49" s="113">
        <f>margins!AT45</f>
        <v>5.125</v>
      </c>
      <c r="D49" s="862">
        <v>103.47</v>
      </c>
      <c r="E49" s="862">
        <v>103.47</v>
      </c>
      <c r="F49" s="766">
        <v>103.47</v>
      </c>
      <c r="G49" s="114">
        <v>103.47</v>
      </c>
      <c r="I49" s="1894"/>
      <c r="J49" s="538" t="s">
        <v>376</v>
      </c>
      <c r="K49" s="457">
        <v>0</v>
      </c>
      <c r="L49" s="456">
        <v>0</v>
      </c>
      <c r="M49" s="456">
        <v>0</v>
      </c>
      <c r="N49" s="456">
        <v>-0.125</v>
      </c>
      <c r="O49" s="456">
        <v>-0.125</v>
      </c>
      <c r="P49" s="456">
        <v>-0.25</v>
      </c>
      <c r="Q49" s="456">
        <v>-0.25</v>
      </c>
      <c r="R49" s="456" t="s">
        <v>14</v>
      </c>
      <c r="S49" s="455" t="s">
        <v>14</v>
      </c>
    </row>
    <row r="50" spans="3:19">
      <c r="C50" s="113">
        <f>margins!AT46</f>
        <v>5.25</v>
      </c>
      <c r="D50" s="862">
        <v>103.49000000000001</v>
      </c>
      <c r="E50" s="862">
        <v>103.49000000000001</v>
      </c>
      <c r="F50" s="766">
        <v>103.49000000000001</v>
      </c>
      <c r="G50" s="114">
        <v>103.49000000000001</v>
      </c>
      <c r="I50" s="1877" t="s">
        <v>279</v>
      </c>
      <c r="J50" s="486" t="s">
        <v>378</v>
      </c>
      <c r="K50" s="466">
        <v>-0.125</v>
      </c>
      <c r="L50" s="465">
        <v>-0.125</v>
      </c>
      <c r="M50" s="465">
        <v>-0.125</v>
      </c>
      <c r="N50" s="465">
        <v>-0.125</v>
      </c>
      <c r="O50" s="465">
        <v>-0.125</v>
      </c>
      <c r="P50" s="465">
        <v>-0.125</v>
      </c>
      <c r="Q50" s="465">
        <v>-0.125</v>
      </c>
      <c r="R50" s="465">
        <v>-0.125</v>
      </c>
      <c r="S50" s="625">
        <v>-0.125</v>
      </c>
    </row>
    <row r="51" spans="3:19">
      <c r="C51" s="113">
        <f>margins!AT47</f>
        <v>5.375</v>
      </c>
      <c r="D51" s="862">
        <v>103.51</v>
      </c>
      <c r="E51" s="862">
        <v>103.51</v>
      </c>
      <c r="F51" s="766">
        <v>103.51</v>
      </c>
      <c r="G51" s="114">
        <v>103.51</v>
      </c>
      <c r="I51" s="1897"/>
      <c r="J51" s="486" t="s">
        <v>487</v>
      </c>
      <c r="K51" s="461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59">
        <v>0</v>
      </c>
    </row>
    <row r="52" spans="3:19">
      <c r="C52" s="113">
        <f>margins!AT48</f>
        <v>5.5</v>
      </c>
      <c r="D52" s="862">
        <v>103.52</v>
      </c>
      <c r="E52" s="862">
        <v>103.52</v>
      </c>
      <c r="F52" s="766">
        <v>103.52</v>
      </c>
      <c r="G52" s="114">
        <v>103.52</v>
      </c>
      <c r="I52" s="1897"/>
      <c r="J52" s="485" t="s">
        <v>488</v>
      </c>
      <c r="K52" s="461">
        <v>0</v>
      </c>
      <c r="L52" s="460">
        <v>0</v>
      </c>
      <c r="M52" s="460">
        <v>0</v>
      </c>
      <c r="N52" s="460">
        <v>0</v>
      </c>
      <c r="O52" s="460">
        <v>0</v>
      </c>
      <c r="P52" s="460">
        <v>0</v>
      </c>
      <c r="Q52" s="460">
        <v>0</v>
      </c>
      <c r="R52" s="460">
        <v>0</v>
      </c>
      <c r="S52" s="459" t="s">
        <v>14</v>
      </c>
    </row>
    <row r="53" spans="3:19">
      <c r="C53" s="113">
        <f>margins!AT49</f>
        <v>5.625</v>
      </c>
      <c r="D53" s="862">
        <v>103.54</v>
      </c>
      <c r="E53" s="862">
        <v>103.54</v>
      </c>
      <c r="F53" s="766">
        <v>103.54</v>
      </c>
      <c r="G53" s="114">
        <v>103.54</v>
      </c>
      <c r="I53" s="1878"/>
      <c r="J53" s="485" t="s">
        <v>382</v>
      </c>
      <c r="K53" s="461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 t="s">
        <v>14</v>
      </c>
      <c r="R53" s="460" t="s">
        <v>14</v>
      </c>
      <c r="S53" s="459" t="s">
        <v>14</v>
      </c>
    </row>
    <row r="54" spans="3:19">
      <c r="C54" s="113">
        <f>margins!AT50</f>
        <v>5.75</v>
      </c>
      <c r="D54" s="862">
        <v>103.56</v>
      </c>
      <c r="E54" s="862">
        <v>103.56</v>
      </c>
      <c r="F54" s="766">
        <v>103.56</v>
      </c>
      <c r="G54" s="114">
        <v>103.56</v>
      </c>
      <c r="I54" s="1895" t="s">
        <v>60</v>
      </c>
      <c r="J54" s="539" t="s">
        <v>29</v>
      </c>
      <c r="K54" s="473">
        <v>-1</v>
      </c>
      <c r="L54" s="472">
        <v>-1</v>
      </c>
      <c r="M54" s="472">
        <v>-1</v>
      </c>
      <c r="N54" s="472">
        <v>-1</v>
      </c>
      <c r="O54" s="472">
        <v>-1</v>
      </c>
      <c r="P54" s="472">
        <v>-1</v>
      </c>
      <c r="Q54" s="472" t="s">
        <v>14</v>
      </c>
      <c r="R54" s="472" t="s">
        <v>14</v>
      </c>
      <c r="S54" s="626" t="s">
        <v>14</v>
      </c>
    </row>
    <row r="55" spans="3:19">
      <c r="I55" s="1896"/>
      <c r="J55" s="647" t="s">
        <v>61</v>
      </c>
      <c r="K55" s="457">
        <v>-2</v>
      </c>
      <c r="L55" s="456">
        <v>-2</v>
      </c>
      <c r="M55" s="456">
        <v>-2.5</v>
      </c>
      <c r="N55" s="456">
        <v>-3</v>
      </c>
      <c r="O55" s="456">
        <v>-3.5</v>
      </c>
      <c r="P55" s="456" t="s">
        <v>14</v>
      </c>
      <c r="Q55" s="456" t="s">
        <v>14</v>
      </c>
      <c r="R55" s="456" t="s">
        <v>14</v>
      </c>
      <c r="S55" s="455" t="s">
        <v>14</v>
      </c>
    </row>
    <row r="56" spans="3:19">
      <c r="I56" s="1877" t="s">
        <v>62</v>
      </c>
      <c r="J56" s="539" t="s">
        <v>260</v>
      </c>
      <c r="K56" s="473">
        <v>0</v>
      </c>
      <c r="L56" s="472">
        <v>0</v>
      </c>
      <c r="M56" s="472">
        <v>0</v>
      </c>
      <c r="N56" s="472">
        <v>-0.125</v>
      </c>
      <c r="O56" s="472">
        <v>-0.125</v>
      </c>
      <c r="P56" s="472">
        <v>-0.25</v>
      </c>
      <c r="Q56" s="472">
        <v>-0.25</v>
      </c>
      <c r="R56" s="472" t="s">
        <v>14</v>
      </c>
      <c r="S56" s="626" t="s">
        <v>14</v>
      </c>
    </row>
    <row r="57" spans="3:19">
      <c r="I57" s="1878"/>
      <c r="J57" s="647" t="s">
        <v>348</v>
      </c>
      <c r="K57" s="457">
        <v>-0.5</v>
      </c>
      <c r="L57" s="456">
        <v>-0.5</v>
      </c>
      <c r="M57" s="456">
        <v>-0.5</v>
      </c>
      <c r="N57" s="456">
        <v>-0.5</v>
      </c>
      <c r="O57" s="456">
        <v>-0.5</v>
      </c>
      <c r="P57" s="456">
        <v>-0.5</v>
      </c>
      <c r="Q57" s="456">
        <v>-0.5</v>
      </c>
      <c r="R57" s="456" t="s">
        <v>14</v>
      </c>
      <c r="S57" s="455" t="s">
        <v>14</v>
      </c>
    </row>
    <row r="58" spans="3:19">
      <c r="I58" s="839" t="s">
        <v>133</v>
      </c>
      <c r="J58" s="662" t="s">
        <v>134</v>
      </c>
      <c r="K58" s="648">
        <v>0</v>
      </c>
      <c r="L58" s="649">
        <v>0</v>
      </c>
      <c r="M58" s="649">
        <v>0</v>
      </c>
      <c r="N58" s="649">
        <v>-0.125</v>
      </c>
      <c r="O58" s="649">
        <v>-0.125</v>
      </c>
      <c r="P58" s="649">
        <v>-0.125</v>
      </c>
      <c r="Q58" s="649">
        <v>-0.125</v>
      </c>
      <c r="R58" s="649">
        <v>-0.125</v>
      </c>
      <c r="S58" s="650">
        <v>-0.125</v>
      </c>
    </row>
    <row r="62" spans="3:19"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3:19"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3:19"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9:18"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9:18"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9:18"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9:18"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2">
    <mergeCell ref="I56:I57"/>
    <mergeCell ref="K28:S28"/>
    <mergeCell ref="I37:I42"/>
    <mergeCell ref="I44:I46"/>
    <mergeCell ref="I47:I49"/>
    <mergeCell ref="I50:I53"/>
    <mergeCell ref="C6:G6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margins!$AG$157:$AG$158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margins!$AG$160:$AG$162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margins!$AG$146:$AG$149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margins!$AG$151:$AG$153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margins!$AT$128:$AT$132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margins!$AT$147:$AT$151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margins!$AT$134:$AT$140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margins!$AT$142:$AT$145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margins!$AT$153:$AT$154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margins!$AT$156:$AT$157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margins!$AT$159:$AT$160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margins!$AT$162:$AT$163</xm:f>
          </x14:formula1>
          <xm:sqref>V19</xm:sqref>
        </x14:dataValidation>
        <x14:dataValidation type="list" allowBlank="1" showInputMessage="1" showErrorMessage="1" xr:uid="{411FFDF1-9E26-432D-8B18-90152601E854}">
          <x14:formula1>
            <xm:f>margins!$AT$165:$AT$166</xm:f>
          </x14:formula1>
          <xm:sqref>V27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8"/>
  <sheetViews>
    <sheetView topLeftCell="A134" zoomScale="85" zoomScaleNormal="85" workbookViewId="0">
      <selection activeCell="AA154" sqref="AA154:AA16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55" t="s">
        <v>252</v>
      </c>
      <c r="B1" s="2056"/>
      <c r="C1" s="2056"/>
      <c r="D1" s="2056"/>
      <c r="E1" s="2056"/>
      <c r="F1" s="2056"/>
      <c r="G1" s="2056"/>
      <c r="H1" s="2057"/>
      <c r="J1" s="2055" t="s">
        <v>649</v>
      </c>
      <c r="K1" s="2056"/>
      <c r="L1" s="2056"/>
      <c r="M1" s="2056"/>
      <c r="N1" s="2056"/>
      <c r="O1" s="2056"/>
      <c r="P1" s="2056"/>
      <c r="Q1" s="2057"/>
      <c r="S1" s="2055" t="s">
        <v>35</v>
      </c>
      <c r="T1" s="2056"/>
      <c r="U1" s="2056"/>
      <c r="V1" s="2056"/>
      <c r="W1" s="2057"/>
      <c r="Y1" s="2055" t="s">
        <v>320</v>
      </c>
      <c r="Z1" s="2056"/>
      <c r="AA1" s="2056"/>
      <c r="AB1" s="2056"/>
      <c r="AC1" s="2056"/>
      <c r="AD1" s="2056"/>
      <c r="AE1" s="2056"/>
      <c r="AF1" s="2057"/>
      <c r="AH1" s="2060" t="s">
        <v>674</v>
      </c>
      <c r="AI1" s="2060"/>
      <c r="AJ1" s="2060"/>
      <c r="AL1" s="2060" t="s">
        <v>675</v>
      </c>
      <c r="AM1" s="2060"/>
      <c r="AN1" s="2060"/>
      <c r="AP1" s="2060" t="s">
        <v>676</v>
      </c>
      <c r="AQ1" s="2060"/>
      <c r="AR1" s="2060"/>
      <c r="AT1" s="2060" t="s">
        <v>677</v>
      </c>
      <c r="AU1" s="2060"/>
      <c r="AV1" s="2060"/>
      <c r="AW1" s="2060"/>
      <c r="AX1" s="2060"/>
      <c r="AZ1" s="2054" t="s">
        <v>430</v>
      </c>
      <c r="BA1" s="2054"/>
      <c r="BB1" s="2054"/>
      <c r="BC1" s="2054"/>
      <c r="BD1" s="2054"/>
      <c r="BF1" s="2054" t="s">
        <v>477</v>
      </c>
      <c r="BG1" s="2054"/>
      <c r="BH1" s="2054"/>
      <c r="BI1" s="2054"/>
    </row>
    <row r="2" spans="1:101" ht="15.75" customHeight="1">
      <c r="AH2" s="23" t="s">
        <v>33</v>
      </c>
      <c r="AI2" s="24" t="s">
        <v>257</v>
      </c>
      <c r="AJ2" s="24"/>
      <c r="AL2" s="23" t="s">
        <v>33</v>
      </c>
      <c r="AM2" s="24" t="s">
        <v>258</v>
      </c>
      <c r="AN2" s="24"/>
      <c r="AP2" s="23" t="s">
        <v>33</v>
      </c>
      <c r="AQ2" s="24" t="s">
        <v>359</v>
      </c>
      <c r="AR2" s="24"/>
      <c r="AT2" s="2058" t="s">
        <v>481</v>
      </c>
      <c r="AU2" s="2059"/>
      <c r="AV2" s="2059"/>
      <c r="AW2" s="2059"/>
      <c r="AX2" s="2059"/>
      <c r="AZ2" s="23" t="s">
        <v>33</v>
      </c>
      <c r="BA2" s="728" t="s">
        <v>431</v>
      </c>
      <c r="BB2" s="728" t="s">
        <v>432</v>
      </c>
      <c r="BC2" s="728" t="s">
        <v>433</v>
      </c>
      <c r="BD2" s="729" t="s">
        <v>434</v>
      </c>
      <c r="BF2" s="23" t="s">
        <v>33</v>
      </c>
      <c r="BG2" s="728" t="s">
        <v>479</v>
      </c>
      <c r="BH2" s="728" t="s">
        <v>433</v>
      </c>
      <c r="BI2" s="729" t="s">
        <v>434</v>
      </c>
    </row>
    <row r="3" spans="1:101" ht="15.75" customHeight="1">
      <c r="A3" s="35"/>
      <c r="D3" s="168"/>
      <c r="E3" s="168"/>
      <c r="F3" s="168"/>
      <c r="H3" s="1250" t="s">
        <v>643</v>
      </c>
      <c r="J3" s="35"/>
      <c r="Q3" s="1250" t="s">
        <v>643</v>
      </c>
      <c r="W3" s="1250" t="s">
        <v>643</v>
      </c>
      <c r="AH3" s="25">
        <v>12.375</v>
      </c>
      <c r="AI3" s="14">
        <f>3.1 +0.125 +0.125 +0.25</f>
        <v>3.6</v>
      </c>
      <c r="AJ3" s="14"/>
      <c r="AL3" s="25">
        <v>13.375</v>
      </c>
      <c r="AM3" s="14">
        <f>3.1+0.125+0.125+0.25</f>
        <v>3.6</v>
      </c>
      <c r="AN3" s="14"/>
      <c r="AP3" s="25">
        <v>7.375</v>
      </c>
      <c r="AQ3" s="14">
        <v>2.25</v>
      </c>
      <c r="AR3" s="14"/>
      <c r="AS3" s="57"/>
      <c r="AT3" s="57" t="s">
        <v>210</v>
      </c>
      <c r="AU3" t="s">
        <v>482</v>
      </c>
      <c r="AV3" s="57" t="s">
        <v>483</v>
      </c>
      <c r="AW3" s="57" t="s">
        <v>484</v>
      </c>
      <c r="AX3" s="57" t="s">
        <v>387</v>
      </c>
      <c r="AZ3">
        <v>5.75</v>
      </c>
      <c r="BA3">
        <v>96.77</v>
      </c>
      <c r="BB3">
        <v>96.67</v>
      </c>
      <c r="BC3">
        <v>96.67</v>
      </c>
      <c r="BD3" s="64">
        <v>3.05</v>
      </c>
      <c r="BF3">
        <v>6.125</v>
      </c>
      <c r="BH3">
        <v>99.043299999999974</v>
      </c>
      <c r="BI3">
        <f>3.7+0.25</f>
        <v>3.95</v>
      </c>
    </row>
    <row r="4" spans="1:101" ht="16.5" customHeight="1">
      <c r="A4" s="1487" t="s">
        <v>211</v>
      </c>
      <c r="B4" s="1246" t="s">
        <v>212</v>
      </c>
      <c r="C4" s="1246" t="s">
        <v>13</v>
      </c>
      <c r="D4" s="1246" t="s">
        <v>87</v>
      </c>
      <c r="E4" s="1246" t="s">
        <v>213</v>
      </c>
      <c r="F4" s="1246" t="s">
        <v>214</v>
      </c>
      <c r="G4" s="1247" t="s">
        <v>656</v>
      </c>
      <c r="H4" s="1508">
        <f>1.1+0.15</f>
        <v>1.25</v>
      </c>
      <c r="J4" s="1487" t="s">
        <v>211</v>
      </c>
      <c r="K4" s="1246" t="s">
        <v>212</v>
      </c>
      <c r="L4" s="1246" t="s">
        <v>13</v>
      </c>
      <c r="M4" s="1246" t="s">
        <v>87</v>
      </c>
      <c r="N4" s="1246" t="s">
        <v>213</v>
      </c>
      <c r="O4" s="1246" t="s">
        <v>214</v>
      </c>
      <c r="P4" s="1247" t="s">
        <v>656</v>
      </c>
      <c r="Q4" s="1508">
        <f>0.7+0.1</f>
        <v>0.79999999999999993</v>
      </c>
      <c r="S4" s="1487" t="s">
        <v>211</v>
      </c>
      <c r="T4" s="1246" t="s">
        <v>4</v>
      </c>
      <c r="U4" s="1246" t="s">
        <v>5</v>
      </c>
      <c r="V4" s="1247" t="s">
        <v>656</v>
      </c>
      <c r="W4" s="1508">
        <f>-1.81+0.15</f>
        <v>-1.6600000000000001</v>
      </c>
      <c r="Y4" s="1487" t="s">
        <v>211</v>
      </c>
      <c r="Z4" s="1246" t="s">
        <v>89</v>
      </c>
      <c r="AA4" s="1246" t="s">
        <v>13</v>
      </c>
      <c r="AB4" s="1246" t="s">
        <v>87</v>
      </c>
      <c r="AC4" s="1246" t="s">
        <v>90</v>
      </c>
      <c r="AD4" s="1246" t="s">
        <v>91</v>
      </c>
      <c r="AE4" s="1488" t="s">
        <v>92</v>
      </c>
      <c r="AF4" s="1489" t="s">
        <v>93</v>
      </c>
      <c r="AH4" s="25">
        <f>AH3-0.125</f>
        <v>12.25</v>
      </c>
      <c r="AI4" s="14">
        <f>AI3</f>
        <v>3.6</v>
      </c>
      <c r="AJ4" s="14"/>
      <c r="AL4" s="25">
        <f>AL3-0.125</f>
        <v>13.25</v>
      </c>
      <c r="AM4" s="14">
        <f>AM3</f>
        <v>3.6</v>
      </c>
      <c r="AN4" s="14"/>
      <c r="AP4" s="25">
        <v>7.5</v>
      </c>
      <c r="AQ4" s="14">
        <f>AQ3</f>
        <v>2.25</v>
      </c>
      <c r="AR4" s="14"/>
      <c r="AS4" s="57"/>
      <c r="AT4" s="57">
        <v>0</v>
      </c>
      <c r="AU4" s="64">
        <f>3.05+0.125+0.125</f>
        <v>3.3</v>
      </c>
      <c r="AV4" s="64">
        <f>AU4</f>
        <v>3.3</v>
      </c>
      <c r="AW4" s="64">
        <f>AU4</f>
        <v>3.3</v>
      </c>
      <c r="AX4" s="64">
        <f>AU4</f>
        <v>3.3</v>
      </c>
      <c r="AZ4">
        <v>5.875</v>
      </c>
      <c r="BA4">
        <v>97.77</v>
      </c>
      <c r="BB4">
        <v>97.67</v>
      </c>
      <c r="BC4">
        <v>97.67</v>
      </c>
      <c r="BD4" s="64">
        <f>BD3</f>
        <v>3.05</v>
      </c>
      <c r="BF4">
        <v>6.25</v>
      </c>
      <c r="BH4">
        <v>99.793299999999974</v>
      </c>
      <c r="BI4">
        <f t="shared" ref="BI4:BI37" si="0">BI3</f>
        <v>3.95</v>
      </c>
    </row>
    <row r="5" spans="1:101" ht="17.25" customHeight="1">
      <c r="A5" s="855">
        <v>5.75</v>
      </c>
      <c r="C5" s="1232">
        <f>$G5+$H5+$H$4</f>
        <v>0.89999999999999991</v>
      </c>
      <c r="D5" s="1232">
        <f t="shared" ref="D5:D33" si="1">$G5+$H5+$H$4</f>
        <v>0.89999999999999991</v>
      </c>
      <c r="F5" s="1232">
        <f t="shared" ref="F5:F33" si="2">$G5+$H5+$H$4</f>
        <v>0.89999999999999991</v>
      </c>
      <c r="G5" s="1248">
        <v>-0.4</v>
      </c>
      <c r="H5" s="1268">
        <v>0.05</v>
      </c>
      <c r="I5" s="1232"/>
      <c r="J5" s="1245">
        <v>5.75</v>
      </c>
      <c r="K5" s="1245"/>
      <c r="L5" s="1232">
        <f>$P5+$Q5+$Q$4</f>
        <v>3.8</v>
      </c>
      <c r="M5" s="1232">
        <f t="shared" ref="M5:M33" si="3">$P5+$Q5+$Q$4</f>
        <v>3.8</v>
      </c>
      <c r="N5" s="1232"/>
      <c r="O5" s="1232">
        <f t="shared" ref="O5:O33" si="4">$P5+$Q5+$Q$4</f>
        <v>3.8</v>
      </c>
      <c r="P5" s="1248">
        <v>3</v>
      </c>
      <c r="Q5" s="1249">
        <v>0</v>
      </c>
      <c r="S5" s="1245">
        <v>5.75</v>
      </c>
      <c r="T5" s="1232">
        <f>$V5+$W5+$W$4</f>
        <v>0.22499999999999987</v>
      </c>
      <c r="U5" s="1232">
        <f>T5</f>
        <v>0.22499999999999987</v>
      </c>
      <c r="V5" s="1248">
        <v>1.885</v>
      </c>
      <c r="W5" s="1249">
        <v>0</v>
      </c>
      <c r="X5" s="1232"/>
      <c r="Y5" s="855">
        <v>7.625</v>
      </c>
      <c r="Z5">
        <f t="shared" ref="Z5:AB33" si="5">$AE$5</f>
        <v>2.8</v>
      </c>
      <c r="AA5">
        <f t="shared" si="5"/>
        <v>2.8</v>
      </c>
      <c r="AB5">
        <f t="shared" si="5"/>
        <v>2.8</v>
      </c>
      <c r="AC5">
        <f t="shared" ref="AC5:AD33" si="6">$AF$5</f>
        <v>2.8</v>
      </c>
      <c r="AD5">
        <f t="shared" si="6"/>
        <v>2.8</v>
      </c>
      <c r="AE5" s="1231">
        <f>2.8</f>
        <v>2.8</v>
      </c>
      <c r="AF5" s="1231">
        <f>AE5</f>
        <v>2.8</v>
      </c>
      <c r="AH5" s="25">
        <f t="shared" ref="AH5:AH43" si="7">AH4-0.125</f>
        <v>12.125</v>
      </c>
      <c r="AI5" s="14">
        <f t="shared" ref="AI5:AI43" si="8">AI4</f>
        <v>3.6</v>
      </c>
      <c r="AJ5" s="14"/>
      <c r="AL5" s="25">
        <f t="shared" ref="AL5:AL42" si="9">AL4-0.125</f>
        <v>13.125</v>
      </c>
      <c r="AM5" s="14">
        <f t="shared" ref="AM5:AM42" si="10">AM4</f>
        <v>3.6</v>
      </c>
      <c r="AN5" s="14"/>
      <c r="AP5" s="25">
        <v>7.625</v>
      </c>
      <c r="AQ5" s="14">
        <f t="shared" ref="AQ5:AQ49" si="11">AQ4</f>
        <v>2.25</v>
      </c>
      <c r="AR5" s="14"/>
      <c r="AS5" s="57"/>
      <c r="AT5" s="57">
        <v>0.125</v>
      </c>
      <c r="AU5" s="64">
        <f>AU4</f>
        <v>3.3</v>
      </c>
      <c r="AV5" s="64">
        <f t="shared" ref="AV5:AV50" si="12">AV4</f>
        <v>3.3</v>
      </c>
      <c r="AW5" s="64">
        <f t="shared" ref="AW5:AW50" si="13">AW4</f>
        <v>3.3</v>
      </c>
      <c r="AX5" s="64">
        <f t="shared" ref="AX5:AX50" si="14">AX4</f>
        <v>3.3</v>
      </c>
      <c r="AZ5">
        <v>6</v>
      </c>
      <c r="BA5">
        <v>98.644999999999996</v>
      </c>
      <c r="BB5">
        <v>98.545000000000002</v>
      </c>
      <c r="BC5">
        <v>98.545000000000002</v>
      </c>
      <c r="BD5" s="64">
        <f t="shared" ref="BD5:BD31" si="15">BD4</f>
        <v>3.05</v>
      </c>
      <c r="BF5">
        <v>6.375</v>
      </c>
      <c r="BH5">
        <v>100.54329999999997</v>
      </c>
      <c r="BI5">
        <f t="shared" si="0"/>
        <v>3.95</v>
      </c>
      <c r="CU5" s="896"/>
      <c r="CV5" s="64"/>
      <c r="CW5" s="64"/>
    </row>
    <row r="6" spans="1:101" ht="17.25" customHeight="1">
      <c r="A6" s="855">
        <v>5.875</v>
      </c>
      <c r="C6" s="1232">
        <f t="shared" ref="C6:C33" si="16">$G6+$H6+$H$4</f>
        <v>0.89999999999999436</v>
      </c>
      <c r="D6" s="1232">
        <f t="shared" si="1"/>
        <v>0.89999999999999436</v>
      </c>
      <c r="F6" s="1232">
        <f t="shared" si="2"/>
        <v>0.89999999999999436</v>
      </c>
      <c r="G6" s="1248">
        <v>-0.5</v>
      </c>
      <c r="H6" s="1268">
        <v>0.1499999999999943</v>
      </c>
      <c r="I6" s="1232"/>
      <c r="J6" s="1245">
        <v>5.875</v>
      </c>
      <c r="K6" s="1245"/>
      <c r="L6" s="1232">
        <f t="shared" ref="L6:L33" si="17">$P6+$Q6+$Q$4</f>
        <v>3.8</v>
      </c>
      <c r="M6" s="1232">
        <f t="shared" si="3"/>
        <v>3.8</v>
      </c>
      <c r="N6" s="1232"/>
      <c r="O6" s="1232">
        <f t="shared" si="4"/>
        <v>3.8</v>
      </c>
      <c r="P6" s="1248">
        <v>3</v>
      </c>
      <c r="Q6" s="1249">
        <v>0</v>
      </c>
      <c r="S6" s="1245">
        <v>5.875</v>
      </c>
      <c r="T6" s="1232">
        <f t="shared" ref="T6:T30" si="18">$V6+$W6+$W$4</f>
        <v>0.22499999999999987</v>
      </c>
      <c r="U6" s="1232">
        <f t="shared" ref="U6:U30" si="19">U5</f>
        <v>0.22499999999999987</v>
      </c>
      <c r="V6" s="1248">
        <v>1.885</v>
      </c>
      <c r="W6" s="1249">
        <v>0</v>
      </c>
      <c r="X6" s="1232"/>
      <c r="Y6" s="855">
        <f t="shared" ref="Y6:Y33" si="20">Y5+0.125</f>
        <v>7.75</v>
      </c>
      <c r="Z6">
        <f t="shared" si="5"/>
        <v>2.8</v>
      </c>
      <c r="AA6">
        <f t="shared" si="5"/>
        <v>2.8</v>
      </c>
      <c r="AB6">
        <f t="shared" si="5"/>
        <v>2.8</v>
      </c>
      <c r="AC6">
        <f t="shared" si="6"/>
        <v>2.8</v>
      </c>
      <c r="AD6">
        <f t="shared" si="6"/>
        <v>2.8</v>
      </c>
      <c r="AH6" s="25">
        <f t="shared" si="7"/>
        <v>12</v>
      </c>
      <c r="AI6" s="14">
        <f t="shared" si="8"/>
        <v>3.6</v>
      </c>
      <c r="AJ6" s="14"/>
      <c r="AL6" s="25">
        <f t="shared" si="9"/>
        <v>13</v>
      </c>
      <c r="AM6" s="14">
        <f t="shared" si="10"/>
        <v>3.6</v>
      </c>
      <c r="AN6" s="14"/>
      <c r="AP6" s="25">
        <v>7.75</v>
      </c>
      <c r="AQ6" s="14">
        <f t="shared" si="11"/>
        <v>2.25</v>
      </c>
      <c r="AR6" s="14"/>
      <c r="AS6" s="57"/>
      <c r="AT6" s="57">
        <v>0.25</v>
      </c>
      <c r="AU6" s="64">
        <f t="shared" ref="AU6:AU50" si="21">AU5</f>
        <v>3.3</v>
      </c>
      <c r="AV6" s="64">
        <f t="shared" si="12"/>
        <v>3.3</v>
      </c>
      <c r="AW6" s="64">
        <f t="shared" si="13"/>
        <v>3.3</v>
      </c>
      <c r="AX6" s="64">
        <f t="shared" si="14"/>
        <v>3.3</v>
      </c>
      <c r="AZ6">
        <v>6.125</v>
      </c>
      <c r="BA6">
        <v>99.363</v>
      </c>
      <c r="BB6">
        <v>99.263000000000005</v>
      </c>
      <c r="BC6">
        <v>99.263000000000005</v>
      </c>
      <c r="BD6" s="64">
        <f t="shared" si="15"/>
        <v>3.05</v>
      </c>
      <c r="BF6">
        <v>6.5</v>
      </c>
      <c r="BH6">
        <v>101.29329999999997</v>
      </c>
      <c r="BI6">
        <f t="shared" si="0"/>
        <v>3.95</v>
      </c>
      <c r="CU6" s="896"/>
      <c r="CV6" s="64"/>
      <c r="CW6" s="64"/>
    </row>
    <row r="7" spans="1:101" ht="17.25" customHeight="1">
      <c r="A7" s="855">
        <v>6</v>
      </c>
      <c r="C7" s="1232">
        <f t="shared" si="16"/>
        <v>0.7750000000000028</v>
      </c>
      <c r="D7" s="1232">
        <f t="shared" si="1"/>
        <v>0.7750000000000028</v>
      </c>
      <c r="F7" s="1232">
        <f t="shared" si="2"/>
        <v>0.7750000000000028</v>
      </c>
      <c r="G7" s="1248">
        <v>-0.72499999999999998</v>
      </c>
      <c r="H7" s="1268">
        <v>0.25000000000000283</v>
      </c>
      <c r="I7" s="1232"/>
      <c r="J7" s="1245">
        <v>6</v>
      </c>
      <c r="K7" s="1245"/>
      <c r="L7" s="1232">
        <f t="shared" si="17"/>
        <v>3.8</v>
      </c>
      <c r="M7" s="1232">
        <f t="shared" si="3"/>
        <v>3.8</v>
      </c>
      <c r="N7" s="1232"/>
      <c r="O7" s="1232">
        <f t="shared" si="4"/>
        <v>3.8</v>
      </c>
      <c r="P7" s="1248">
        <v>3</v>
      </c>
      <c r="Q7" s="1249">
        <v>0</v>
      </c>
      <c r="S7" s="1245">
        <v>6</v>
      </c>
      <c r="T7" s="1232">
        <f t="shared" si="18"/>
        <v>0.22499999999999987</v>
      </c>
      <c r="U7" s="1232">
        <f t="shared" si="19"/>
        <v>0.22499999999999987</v>
      </c>
      <c r="V7" s="1248">
        <v>1.885</v>
      </c>
      <c r="W7" s="1249">
        <v>0</v>
      </c>
      <c r="X7" s="1232"/>
      <c r="Y7" s="855">
        <f t="shared" si="20"/>
        <v>7.875</v>
      </c>
      <c r="Z7">
        <f t="shared" si="5"/>
        <v>2.8</v>
      </c>
      <c r="AA7">
        <f t="shared" si="5"/>
        <v>2.8</v>
      </c>
      <c r="AB7">
        <f t="shared" si="5"/>
        <v>2.8</v>
      </c>
      <c r="AC7">
        <f t="shared" si="6"/>
        <v>2.8</v>
      </c>
      <c r="AD7">
        <f t="shared" si="6"/>
        <v>2.8</v>
      </c>
      <c r="AH7" s="25">
        <f t="shared" si="7"/>
        <v>11.875</v>
      </c>
      <c r="AI7" s="14">
        <f t="shared" si="8"/>
        <v>3.6</v>
      </c>
      <c r="AJ7" s="14"/>
      <c r="AL7" s="25">
        <f t="shared" si="9"/>
        <v>12.875</v>
      </c>
      <c r="AM7" s="14">
        <f t="shared" si="10"/>
        <v>3.6</v>
      </c>
      <c r="AN7" s="14"/>
      <c r="AP7" s="25">
        <v>7.875</v>
      </c>
      <c r="AQ7" s="14">
        <f t="shared" si="11"/>
        <v>2.25</v>
      </c>
      <c r="AR7" s="14"/>
      <c r="AS7" s="57"/>
      <c r="AT7" s="57">
        <v>0.375</v>
      </c>
      <c r="AU7" s="64">
        <f t="shared" si="21"/>
        <v>3.3</v>
      </c>
      <c r="AV7" s="64">
        <f t="shared" si="12"/>
        <v>3.3</v>
      </c>
      <c r="AW7" s="64">
        <f t="shared" si="13"/>
        <v>3.3</v>
      </c>
      <c r="AX7" s="64">
        <f t="shared" si="14"/>
        <v>3.3</v>
      </c>
      <c r="AZ7">
        <v>6.25</v>
      </c>
      <c r="BA7">
        <v>100.05</v>
      </c>
      <c r="BB7">
        <v>99.95</v>
      </c>
      <c r="BC7">
        <v>99.95</v>
      </c>
      <c r="BD7" s="64">
        <f t="shared" si="15"/>
        <v>3.05</v>
      </c>
      <c r="BF7">
        <v>6.625</v>
      </c>
      <c r="BH7">
        <v>101.91829999999997</v>
      </c>
      <c r="BI7">
        <f t="shared" si="0"/>
        <v>3.95</v>
      </c>
      <c r="CU7" s="896"/>
      <c r="CV7" s="64"/>
      <c r="CW7" s="64"/>
    </row>
    <row r="8" spans="1:101" ht="15.75" customHeight="1">
      <c r="A8" s="855">
        <v>6.125</v>
      </c>
      <c r="C8" s="1232">
        <f t="shared" si="16"/>
        <v>0.49299999999999844</v>
      </c>
      <c r="D8" s="1232">
        <f t="shared" si="1"/>
        <v>0.49299999999999844</v>
      </c>
      <c r="F8" s="1232">
        <f t="shared" si="2"/>
        <v>0.49299999999999844</v>
      </c>
      <c r="G8" s="1248">
        <v>-0.85699999999999643</v>
      </c>
      <c r="H8" s="1268">
        <v>9.9999999999994871E-2</v>
      </c>
      <c r="I8" s="1232"/>
      <c r="J8" s="1245">
        <v>6.125</v>
      </c>
      <c r="K8" s="1245"/>
      <c r="L8" s="1232">
        <f t="shared" si="17"/>
        <v>3.8</v>
      </c>
      <c r="M8" s="1232">
        <f t="shared" si="3"/>
        <v>3.8</v>
      </c>
      <c r="N8" s="1232"/>
      <c r="O8" s="1232">
        <f t="shared" si="4"/>
        <v>3.8</v>
      </c>
      <c r="P8" s="1248">
        <v>3</v>
      </c>
      <c r="Q8" s="1249">
        <v>0</v>
      </c>
      <c r="S8" s="1245">
        <v>6.125</v>
      </c>
      <c r="T8" s="1232">
        <f t="shared" si="18"/>
        <v>0.22499999999999987</v>
      </c>
      <c r="U8" s="1232">
        <f t="shared" si="19"/>
        <v>0.22499999999999987</v>
      </c>
      <c r="V8" s="1248">
        <v>1.885</v>
      </c>
      <c r="W8" s="1249">
        <v>0</v>
      </c>
      <c r="X8" s="1232"/>
      <c r="Y8" s="855">
        <f t="shared" si="20"/>
        <v>8</v>
      </c>
      <c r="Z8">
        <f t="shared" si="5"/>
        <v>2.8</v>
      </c>
      <c r="AA8">
        <f t="shared" si="5"/>
        <v>2.8</v>
      </c>
      <c r="AB8">
        <f t="shared" si="5"/>
        <v>2.8</v>
      </c>
      <c r="AC8">
        <f t="shared" si="6"/>
        <v>2.8</v>
      </c>
      <c r="AD8">
        <f t="shared" si="6"/>
        <v>2.8</v>
      </c>
      <c r="AH8" s="25">
        <f t="shared" si="7"/>
        <v>11.75</v>
      </c>
      <c r="AI8" s="14">
        <f t="shared" si="8"/>
        <v>3.6</v>
      </c>
      <c r="AJ8" s="14"/>
      <c r="AL8" s="25">
        <f t="shared" si="9"/>
        <v>12.75</v>
      </c>
      <c r="AM8" s="14">
        <f t="shared" si="10"/>
        <v>3.6</v>
      </c>
      <c r="AN8" s="14"/>
      <c r="AP8" s="25">
        <v>8</v>
      </c>
      <c r="AQ8" s="14">
        <f t="shared" si="11"/>
        <v>2.25</v>
      </c>
      <c r="AR8" s="14"/>
      <c r="AS8" s="57"/>
      <c r="AT8" s="57">
        <v>0.5</v>
      </c>
      <c r="AU8" s="64">
        <f t="shared" si="21"/>
        <v>3.3</v>
      </c>
      <c r="AV8" s="64">
        <f t="shared" si="12"/>
        <v>3.3</v>
      </c>
      <c r="AW8" s="64">
        <f t="shared" si="13"/>
        <v>3.3</v>
      </c>
      <c r="AX8" s="64">
        <f t="shared" si="14"/>
        <v>3.3</v>
      </c>
      <c r="AZ8">
        <v>6.375</v>
      </c>
      <c r="BA8">
        <v>100.738</v>
      </c>
      <c r="BB8">
        <v>100.63800000000001</v>
      </c>
      <c r="BC8">
        <v>100.63800000000001</v>
      </c>
      <c r="BD8" s="64">
        <f t="shared" si="15"/>
        <v>3.05</v>
      </c>
      <c r="BF8">
        <v>6.75</v>
      </c>
      <c r="BH8">
        <v>102.54329999999997</v>
      </c>
      <c r="BI8">
        <f>BI7</f>
        <v>3.95</v>
      </c>
      <c r="CU8" s="896"/>
      <c r="CV8" s="64"/>
      <c r="CW8" s="64"/>
    </row>
    <row r="9" spans="1:101" ht="15.75" customHeight="1">
      <c r="A9" s="855">
        <v>6.25</v>
      </c>
      <c r="C9" s="1232">
        <f t="shared" si="16"/>
        <v>0.27374999999999261</v>
      </c>
      <c r="D9" s="1232">
        <f t="shared" si="1"/>
        <v>0.27374999999999261</v>
      </c>
      <c r="F9" s="1232">
        <f t="shared" si="2"/>
        <v>0.27374999999999261</v>
      </c>
      <c r="G9" s="1248">
        <v>-0.93899999999999584</v>
      </c>
      <c r="H9" s="1268">
        <v>-3.7250000000011496E-2</v>
      </c>
      <c r="I9" s="1232"/>
      <c r="J9" s="1245">
        <v>6.25</v>
      </c>
      <c r="K9" s="1245"/>
      <c r="L9" s="1232">
        <f t="shared" si="17"/>
        <v>3.8</v>
      </c>
      <c r="M9" s="1232">
        <f t="shared" si="3"/>
        <v>3.8</v>
      </c>
      <c r="N9" s="1232"/>
      <c r="O9" s="1232">
        <f t="shared" si="4"/>
        <v>3.8</v>
      </c>
      <c r="P9" s="1248">
        <v>3</v>
      </c>
      <c r="Q9" s="1249">
        <v>0</v>
      </c>
      <c r="S9" s="1245">
        <v>6.25</v>
      </c>
      <c r="T9" s="1232">
        <f t="shared" si="18"/>
        <v>0.22499999999999987</v>
      </c>
      <c r="U9" s="1232">
        <f t="shared" si="19"/>
        <v>0.22499999999999987</v>
      </c>
      <c r="V9" s="1248">
        <v>1.885</v>
      </c>
      <c r="W9" s="1249">
        <v>0</v>
      </c>
      <c r="X9" s="1232"/>
      <c r="Y9" s="855">
        <f t="shared" si="20"/>
        <v>8.125</v>
      </c>
      <c r="Z9">
        <f t="shared" si="5"/>
        <v>2.8</v>
      </c>
      <c r="AA9">
        <f t="shared" si="5"/>
        <v>2.8</v>
      </c>
      <c r="AB9">
        <f t="shared" si="5"/>
        <v>2.8</v>
      </c>
      <c r="AC9">
        <f t="shared" si="6"/>
        <v>2.8</v>
      </c>
      <c r="AD9">
        <f t="shared" si="6"/>
        <v>2.8</v>
      </c>
      <c r="AH9" s="25">
        <f t="shared" si="7"/>
        <v>11.625</v>
      </c>
      <c r="AI9" s="14">
        <f t="shared" si="8"/>
        <v>3.6</v>
      </c>
      <c r="AJ9" s="14"/>
      <c r="AL9" s="25">
        <f t="shared" si="9"/>
        <v>12.625</v>
      </c>
      <c r="AM9" s="14">
        <f t="shared" si="10"/>
        <v>3.6</v>
      </c>
      <c r="AN9" s="14"/>
      <c r="AP9" s="25">
        <v>8.125</v>
      </c>
      <c r="AQ9" s="14">
        <f t="shared" si="11"/>
        <v>2.25</v>
      </c>
      <c r="AR9" s="14"/>
      <c r="AS9" s="57"/>
      <c r="AT9" s="57">
        <v>0.625</v>
      </c>
      <c r="AU9" s="64">
        <f t="shared" si="21"/>
        <v>3.3</v>
      </c>
      <c r="AV9" s="64">
        <f t="shared" si="12"/>
        <v>3.3</v>
      </c>
      <c r="AW9" s="64">
        <f t="shared" si="13"/>
        <v>3.3</v>
      </c>
      <c r="AX9" s="64">
        <f t="shared" si="14"/>
        <v>3.3</v>
      </c>
      <c r="AZ9">
        <v>6.5</v>
      </c>
      <c r="BA9">
        <v>101.425</v>
      </c>
      <c r="BB9">
        <v>101.325</v>
      </c>
      <c r="BC9">
        <v>101.325</v>
      </c>
      <c r="BD9" s="64">
        <f t="shared" si="15"/>
        <v>3.05</v>
      </c>
      <c r="BF9">
        <v>6.875</v>
      </c>
      <c r="BH9">
        <v>102.91829999999997</v>
      </c>
      <c r="BI9">
        <f>BI8</f>
        <v>3.95</v>
      </c>
      <c r="CU9" s="896"/>
      <c r="CV9" s="64"/>
      <c r="CW9" s="64"/>
    </row>
    <row r="10" spans="1:101" ht="15.75" customHeight="1">
      <c r="A10" s="855">
        <v>6.375</v>
      </c>
      <c r="C10" s="1232">
        <f t="shared" si="16"/>
        <v>0.21175000000000743</v>
      </c>
      <c r="D10" s="1232">
        <f t="shared" si="1"/>
        <v>0.21175000000000743</v>
      </c>
      <c r="F10" s="1232">
        <f t="shared" si="2"/>
        <v>0.21175000000000743</v>
      </c>
      <c r="G10" s="1248">
        <v>-1.117749999999996</v>
      </c>
      <c r="H10" s="1268">
        <v>7.9500000000003401E-2</v>
      </c>
      <c r="I10" s="1232"/>
      <c r="J10" s="1245">
        <v>6.375</v>
      </c>
      <c r="K10" s="1245"/>
      <c r="L10" s="1232">
        <f t="shared" si="17"/>
        <v>3.8</v>
      </c>
      <c r="M10" s="1232">
        <f t="shared" si="3"/>
        <v>3.8</v>
      </c>
      <c r="N10" s="1232"/>
      <c r="O10" s="1232">
        <f t="shared" si="4"/>
        <v>3.8</v>
      </c>
      <c r="P10" s="1248">
        <v>3</v>
      </c>
      <c r="Q10" s="1249">
        <v>0</v>
      </c>
      <c r="S10" s="1245">
        <v>6.375</v>
      </c>
      <c r="T10" s="1232">
        <f t="shared" si="18"/>
        <v>0.22499999999999987</v>
      </c>
      <c r="U10" s="1232">
        <f t="shared" si="19"/>
        <v>0.22499999999999987</v>
      </c>
      <c r="V10" s="1248">
        <v>1.885</v>
      </c>
      <c r="W10" s="1249">
        <v>0</v>
      </c>
      <c r="X10" s="1232"/>
      <c r="Y10" s="855">
        <f t="shared" si="20"/>
        <v>8.25</v>
      </c>
      <c r="Z10">
        <f t="shared" si="5"/>
        <v>2.8</v>
      </c>
      <c r="AA10">
        <f t="shared" si="5"/>
        <v>2.8</v>
      </c>
      <c r="AB10">
        <f t="shared" si="5"/>
        <v>2.8</v>
      </c>
      <c r="AC10">
        <f t="shared" si="6"/>
        <v>2.8</v>
      </c>
      <c r="AD10">
        <f t="shared" si="6"/>
        <v>2.8</v>
      </c>
      <c r="AH10" s="25">
        <f t="shared" si="7"/>
        <v>11.5</v>
      </c>
      <c r="AI10" s="14">
        <f t="shared" si="8"/>
        <v>3.6</v>
      </c>
      <c r="AJ10" s="14"/>
      <c r="AL10" s="25">
        <f t="shared" si="9"/>
        <v>12.5</v>
      </c>
      <c r="AM10" s="14">
        <f t="shared" si="10"/>
        <v>3.6</v>
      </c>
      <c r="AN10" s="14"/>
      <c r="AP10" s="25">
        <v>8.25</v>
      </c>
      <c r="AQ10" s="14">
        <f t="shared" si="11"/>
        <v>2.25</v>
      </c>
      <c r="AR10" s="14"/>
      <c r="AS10" s="57"/>
      <c r="AT10" s="57">
        <v>0.75</v>
      </c>
      <c r="AU10" s="64">
        <f t="shared" si="21"/>
        <v>3.3</v>
      </c>
      <c r="AV10" s="64">
        <f t="shared" si="12"/>
        <v>3.3</v>
      </c>
      <c r="AW10" s="64">
        <f t="shared" si="13"/>
        <v>3.3</v>
      </c>
      <c r="AX10" s="64">
        <f t="shared" si="14"/>
        <v>3.3</v>
      </c>
      <c r="AZ10">
        <v>6.625</v>
      </c>
      <c r="BA10">
        <v>102.05</v>
      </c>
      <c r="BB10">
        <v>101.95</v>
      </c>
      <c r="BC10">
        <v>101.95</v>
      </c>
      <c r="BD10" s="64">
        <f t="shared" si="15"/>
        <v>3.05</v>
      </c>
      <c r="BF10">
        <v>7</v>
      </c>
      <c r="BH10">
        <v>103.29329999999997</v>
      </c>
      <c r="BI10">
        <f t="shared" si="0"/>
        <v>3.95</v>
      </c>
      <c r="CU10" s="896"/>
      <c r="CV10" s="64"/>
      <c r="CW10" s="64"/>
    </row>
    <row r="11" spans="1:101" ht="15.75" customHeight="1">
      <c r="A11" s="855">
        <v>6.5</v>
      </c>
      <c r="C11" s="1232">
        <f t="shared" si="16"/>
        <v>0.14874999999999461</v>
      </c>
      <c r="D11" s="1232">
        <f t="shared" si="1"/>
        <v>0.14874999999999461</v>
      </c>
      <c r="F11" s="1232">
        <f t="shared" si="2"/>
        <v>0.14874999999999461</v>
      </c>
      <c r="G11" s="1248">
        <v>-1.2182500000000041</v>
      </c>
      <c r="H11" s="1268">
        <v>0.11699999999999866</v>
      </c>
      <c r="I11" s="1232"/>
      <c r="J11" s="1245">
        <v>6.5</v>
      </c>
      <c r="K11" s="1245"/>
      <c r="L11" s="1232">
        <f t="shared" si="17"/>
        <v>3.8</v>
      </c>
      <c r="M11" s="1232">
        <f t="shared" si="3"/>
        <v>3.8</v>
      </c>
      <c r="N11" s="1232"/>
      <c r="O11" s="1232">
        <f t="shared" si="4"/>
        <v>3.8</v>
      </c>
      <c r="P11" s="1248">
        <v>3</v>
      </c>
      <c r="Q11" s="1249">
        <v>0</v>
      </c>
      <c r="S11" s="1245">
        <v>6.5</v>
      </c>
      <c r="T11" s="1232">
        <f t="shared" si="18"/>
        <v>0.22499999999999987</v>
      </c>
      <c r="U11" s="1232">
        <f t="shared" si="19"/>
        <v>0.22499999999999987</v>
      </c>
      <c r="V11" s="1248">
        <v>1.885</v>
      </c>
      <c r="W11" s="1249">
        <v>0</v>
      </c>
      <c r="X11" s="1232"/>
      <c r="Y11" s="855">
        <f t="shared" si="20"/>
        <v>8.375</v>
      </c>
      <c r="Z11">
        <f t="shared" si="5"/>
        <v>2.8</v>
      </c>
      <c r="AA11">
        <f t="shared" si="5"/>
        <v>2.8</v>
      </c>
      <c r="AB11">
        <f t="shared" si="5"/>
        <v>2.8</v>
      </c>
      <c r="AC11">
        <f t="shared" si="6"/>
        <v>2.8</v>
      </c>
      <c r="AD11">
        <f t="shared" si="6"/>
        <v>2.8</v>
      </c>
      <c r="AH11" s="25">
        <f t="shared" si="7"/>
        <v>11.375</v>
      </c>
      <c r="AI11" s="14">
        <f t="shared" si="8"/>
        <v>3.6</v>
      </c>
      <c r="AJ11" s="14"/>
      <c r="AL11" s="25">
        <f t="shared" si="9"/>
        <v>12.375</v>
      </c>
      <c r="AM11" s="14">
        <f t="shared" si="10"/>
        <v>3.6</v>
      </c>
      <c r="AN11" s="14"/>
      <c r="AP11" s="25">
        <v>8.375</v>
      </c>
      <c r="AQ11" s="14">
        <f t="shared" si="11"/>
        <v>2.25</v>
      </c>
      <c r="AR11" s="14"/>
      <c r="AS11" s="57"/>
      <c r="AT11" s="57">
        <v>0.875</v>
      </c>
      <c r="AU11" s="64">
        <f t="shared" si="21"/>
        <v>3.3</v>
      </c>
      <c r="AV11" s="64">
        <f t="shared" si="12"/>
        <v>3.3</v>
      </c>
      <c r="AW11" s="64">
        <f t="shared" si="13"/>
        <v>3.3</v>
      </c>
      <c r="AX11" s="64">
        <f t="shared" si="14"/>
        <v>3.3</v>
      </c>
      <c r="AZ11">
        <v>6.75</v>
      </c>
      <c r="BA11">
        <v>102.675</v>
      </c>
      <c r="BB11">
        <v>102.575</v>
      </c>
      <c r="BC11">
        <v>102.575</v>
      </c>
      <c r="BD11" s="64">
        <f t="shared" si="15"/>
        <v>3.05</v>
      </c>
      <c r="BF11">
        <v>7.125</v>
      </c>
      <c r="BH11">
        <v>103.67329999999997</v>
      </c>
      <c r="BI11">
        <f t="shared" si="0"/>
        <v>3.95</v>
      </c>
      <c r="CU11" s="896"/>
      <c r="CV11" s="64"/>
      <c r="CW11" s="64"/>
    </row>
    <row r="12" spans="1:101" ht="15.75" customHeight="1">
      <c r="A12" s="855">
        <v>6.625</v>
      </c>
      <c r="C12" s="1232">
        <f t="shared" si="16"/>
        <v>0.14875000000000238</v>
      </c>
      <c r="D12" s="1232">
        <f t="shared" si="1"/>
        <v>0.14875000000000238</v>
      </c>
      <c r="F12" s="1232">
        <f t="shared" si="2"/>
        <v>0.14875000000000238</v>
      </c>
      <c r="G12" s="1248">
        <v>-1.0539999999999914</v>
      </c>
      <c r="H12" s="1268">
        <v>-4.7250000000006342E-2</v>
      </c>
      <c r="I12" s="1232"/>
      <c r="J12" s="1245">
        <v>6.625</v>
      </c>
      <c r="K12" s="1245"/>
      <c r="L12" s="1232">
        <f t="shared" si="17"/>
        <v>3.8</v>
      </c>
      <c r="M12" s="1232">
        <f t="shared" si="3"/>
        <v>3.8</v>
      </c>
      <c r="N12" s="1232"/>
      <c r="O12" s="1232">
        <f t="shared" si="4"/>
        <v>3.8</v>
      </c>
      <c r="P12" s="1248">
        <v>3</v>
      </c>
      <c r="Q12" s="1249">
        <v>0</v>
      </c>
      <c r="S12" s="1245">
        <v>6.625</v>
      </c>
      <c r="T12" s="1232">
        <f t="shared" si="18"/>
        <v>0.22499999999999987</v>
      </c>
      <c r="U12" s="1232">
        <f t="shared" si="19"/>
        <v>0.22499999999999987</v>
      </c>
      <c r="V12" s="1248">
        <v>1.885</v>
      </c>
      <c r="W12" s="1249">
        <v>0</v>
      </c>
      <c r="X12" s="1232"/>
      <c r="Y12" s="855">
        <f t="shared" si="20"/>
        <v>8.5</v>
      </c>
      <c r="Z12">
        <f t="shared" si="5"/>
        <v>2.8</v>
      </c>
      <c r="AA12">
        <f t="shared" si="5"/>
        <v>2.8</v>
      </c>
      <c r="AB12">
        <f t="shared" si="5"/>
        <v>2.8</v>
      </c>
      <c r="AC12">
        <f t="shared" si="6"/>
        <v>2.8</v>
      </c>
      <c r="AD12">
        <f t="shared" si="6"/>
        <v>2.8</v>
      </c>
      <c r="AH12" s="25">
        <f t="shared" si="7"/>
        <v>11.25</v>
      </c>
      <c r="AI12" s="14">
        <f t="shared" si="8"/>
        <v>3.6</v>
      </c>
      <c r="AJ12" s="14"/>
      <c r="AL12" s="25">
        <f t="shared" si="9"/>
        <v>12.25</v>
      </c>
      <c r="AM12" s="14">
        <f t="shared" si="10"/>
        <v>3.6</v>
      </c>
      <c r="AN12" s="14"/>
      <c r="AP12" s="25">
        <v>8.5</v>
      </c>
      <c r="AQ12" s="14">
        <f t="shared" si="11"/>
        <v>2.25</v>
      </c>
      <c r="AR12" s="14"/>
      <c r="AS12" s="57"/>
      <c r="AT12" s="57">
        <v>1</v>
      </c>
      <c r="AU12" s="64">
        <f t="shared" si="21"/>
        <v>3.3</v>
      </c>
      <c r="AV12" s="64">
        <f t="shared" si="12"/>
        <v>3.3</v>
      </c>
      <c r="AW12" s="64">
        <f t="shared" si="13"/>
        <v>3.3</v>
      </c>
      <c r="AX12" s="64">
        <f t="shared" si="14"/>
        <v>3.3</v>
      </c>
      <c r="AZ12">
        <v>6.875</v>
      </c>
      <c r="BA12">
        <v>103.3</v>
      </c>
      <c r="BB12">
        <v>103.2</v>
      </c>
      <c r="BC12">
        <v>103.2</v>
      </c>
      <c r="BD12" s="64">
        <f t="shared" si="15"/>
        <v>3.05</v>
      </c>
      <c r="BF12">
        <v>7.25</v>
      </c>
      <c r="BH12">
        <v>104.17329999999997</v>
      </c>
      <c r="BI12">
        <f t="shared" si="0"/>
        <v>3.95</v>
      </c>
      <c r="CU12" s="896"/>
      <c r="CV12" s="64"/>
      <c r="CW12" s="64"/>
    </row>
    <row r="13" spans="1:101" ht="15" customHeight="1">
      <c r="A13" s="855">
        <v>6.75</v>
      </c>
      <c r="C13" s="1232">
        <f t="shared" si="16"/>
        <v>0.14875000000000327</v>
      </c>
      <c r="D13" s="1232">
        <f t="shared" si="1"/>
        <v>0.14875000000000327</v>
      </c>
      <c r="F13" s="1232">
        <f t="shared" si="2"/>
        <v>0.14875000000000327</v>
      </c>
      <c r="G13" s="1248">
        <v>-0.8907500000000006</v>
      </c>
      <c r="H13" s="1268">
        <v>-0.21049999999999613</v>
      </c>
      <c r="I13" s="1232"/>
      <c r="J13" s="1245">
        <v>6.75</v>
      </c>
      <c r="K13" s="1245"/>
      <c r="L13" s="1232">
        <f t="shared" si="17"/>
        <v>3.8</v>
      </c>
      <c r="M13" s="1232">
        <f t="shared" si="3"/>
        <v>3.8</v>
      </c>
      <c r="N13" s="1232"/>
      <c r="O13" s="1232">
        <f t="shared" si="4"/>
        <v>3.8</v>
      </c>
      <c r="P13" s="1248">
        <v>3</v>
      </c>
      <c r="Q13" s="1249">
        <v>0</v>
      </c>
      <c r="S13" s="1245">
        <v>6.75</v>
      </c>
      <c r="T13" s="1232">
        <f t="shared" si="18"/>
        <v>0.22499999999999987</v>
      </c>
      <c r="U13" s="1232">
        <f t="shared" si="19"/>
        <v>0.22499999999999987</v>
      </c>
      <c r="V13" s="1248">
        <v>1.885</v>
      </c>
      <c r="W13" s="1249">
        <v>0</v>
      </c>
      <c r="X13" s="1232"/>
      <c r="Y13" s="855">
        <f t="shared" si="20"/>
        <v>8.625</v>
      </c>
      <c r="Z13">
        <f t="shared" si="5"/>
        <v>2.8</v>
      </c>
      <c r="AA13">
        <f t="shared" si="5"/>
        <v>2.8</v>
      </c>
      <c r="AB13">
        <f t="shared" si="5"/>
        <v>2.8</v>
      </c>
      <c r="AC13">
        <f t="shared" si="6"/>
        <v>2.8</v>
      </c>
      <c r="AD13">
        <f t="shared" si="6"/>
        <v>2.8</v>
      </c>
      <c r="AH13" s="25">
        <f t="shared" si="7"/>
        <v>11.125</v>
      </c>
      <c r="AI13" s="14">
        <f t="shared" si="8"/>
        <v>3.6</v>
      </c>
      <c r="AJ13" s="14"/>
      <c r="AL13" s="25">
        <f t="shared" si="9"/>
        <v>12.125</v>
      </c>
      <c r="AM13" s="14">
        <f t="shared" si="10"/>
        <v>3.6</v>
      </c>
      <c r="AN13" s="14"/>
      <c r="AP13" s="25">
        <v>8.625</v>
      </c>
      <c r="AQ13" s="14">
        <f t="shared" si="11"/>
        <v>2.25</v>
      </c>
      <c r="AR13" s="14"/>
      <c r="AS13" s="57"/>
      <c r="AT13" s="57">
        <v>1.125</v>
      </c>
      <c r="AU13" s="64">
        <f t="shared" si="21"/>
        <v>3.3</v>
      </c>
      <c r="AV13" s="64">
        <f t="shared" si="12"/>
        <v>3.3</v>
      </c>
      <c r="AW13" s="64">
        <f t="shared" si="13"/>
        <v>3.3</v>
      </c>
      <c r="AX13" s="64">
        <f t="shared" si="14"/>
        <v>3.3</v>
      </c>
      <c r="AZ13">
        <v>7</v>
      </c>
      <c r="BA13">
        <v>103.925</v>
      </c>
      <c r="BB13">
        <v>103.825</v>
      </c>
      <c r="BC13">
        <v>103.825</v>
      </c>
      <c r="BD13" s="64">
        <f t="shared" si="15"/>
        <v>3.05</v>
      </c>
      <c r="BF13">
        <v>7.375</v>
      </c>
      <c r="BH13">
        <v>104.54829999999997</v>
      </c>
      <c r="BI13">
        <f t="shared" si="0"/>
        <v>3.95</v>
      </c>
      <c r="CU13" s="896"/>
      <c r="CV13" s="64"/>
      <c r="CW13" s="64"/>
    </row>
    <row r="14" spans="1:101">
      <c r="A14" s="855">
        <v>6.875</v>
      </c>
      <c r="C14" s="1232">
        <f t="shared" si="16"/>
        <v>0.3987500000000046</v>
      </c>
      <c r="D14" s="1232">
        <f t="shared" si="1"/>
        <v>0.3987500000000046</v>
      </c>
      <c r="F14" s="1232">
        <f t="shared" si="2"/>
        <v>0.3987500000000046</v>
      </c>
      <c r="G14" s="1248">
        <v>-0.890249999999984</v>
      </c>
      <c r="H14" s="1268">
        <v>3.8999999999988599E-2</v>
      </c>
      <c r="I14" s="1232"/>
      <c r="J14" s="1245">
        <v>6.875</v>
      </c>
      <c r="K14" s="1245"/>
      <c r="L14" s="1232">
        <f t="shared" si="17"/>
        <v>3.8</v>
      </c>
      <c r="M14" s="1232">
        <f t="shared" si="3"/>
        <v>3.8</v>
      </c>
      <c r="N14" s="1232"/>
      <c r="O14" s="1232">
        <f t="shared" si="4"/>
        <v>3.8</v>
      </c>
      <c r="P14" s="1248">
        <v>3</v>
      </c>
      <c r="Q14" s="1249">
        <v>0</v>
      </c>
      <c r="S14" s="1245">
        <v>6.875</v>
      </c>
      <c r="T14" s="1232">
        <f t="shared" si="18"/>
        <v>0.22499999999999987</v>
      </c>
      <c r="U14" s="1232">
        <f t="shared" si="19"/>
        <v>0.22499999999999987</v>
      </c>
      <c r="V14" s="1248">
        <v>1.885</v>
      </c>
      <c r="W14" s="1249">
        <v>0</v>
      </c>
      <c r="X14" s="1232"/>
      <c r="Y14" s="855">
        <f t="shared" si="20"/>
        <v>8.75</v>
      </c>
      <c r="Z14">
        <f t="shared" si="5"/>
        <v>2.8</v>
      </c>
      <c r="AA14">
        <f t="shared" si="5"/>
        <v>2.8</v>
      </c>
      <c r="AB14">
        <f t="shared" si="5"/>
        <v>2.8</v>
      </c>
      <c r="AC14">
        <f t="shared" si="6"/>
        <v>2.8</v>
      </c>
      <c r="AD14">
        <f t="shared" si="6"/>
        <v>2.8</v>
      </c>
      <c r="AH14" s="25">
        <f t="shared" si="7"/>
        <v>11</v>
      </c>
      <c r="AI14" s="14">
        <f t="shared" si="8"/>
        <v>3.6</v>
      </c>
      <c r="AJ14" s="14"/>
      <c r="AL14" s="25">
        <f t="shared" si="9"/>
        <v>12</v>
      </c>
      <c r="AM14" s="14">
        <f t="shared" si="10"/>
        <v>3.6</v>
      </c>
      <c r="AN14" s="14"/>
      <c r="AP14" s="25">
        <v>8.75</v>
      </c>
      <c r="AQ14" s="14">
        <f t="shared" si="11"/>
        <v>2.25</v>
      </c>
      <c r="AR14" s="14"/>
      <c r="AS14" s="57"/>
      <c r="AT14" s="57">
        <v>1.25</v>
      </c>
      <c r="AU14" s="64">
        <f t="shared" si="21"/>
        <v>3.3</v>
      </c>
      <c r="AV14" s="64">
        <f t="shared" si="12"/>
        <v>3.3</v>
      </c>
      <c r="AW14" s="64">
        <f t="shared" si="13"/>
        <v>3.3</v>
      </c>
      <c r="AX14" s="64">
        <f t="shared" si="14"/>
        <v>3.3</v>
      </c>
      <c r="AZ14">
        <v>7.125</v>
      </c>
      <c r="BA14">
        <v>104.55</v>
      </c>
      <c r="BB14">
        <v>104.45</v>
      </c>
      <c r="BC14">
        <v>104.45</v>
      </c>
      <c r="BD14" s="64">
        <f t="shared" si="15"/>
        <v>3.05</v>
      </c>
      <c r="BF14">
        <v>7.5</v>
      </c>
      <c r="BH14">
        <v>104.84829999999997</v>
      </c>
      <c r="BI14">
        <f t="shared" si="0"/>
        <v>3.95</v>
      </c>
      <c r="CU14" s="896"/>
      <c r="CV14" s="64"/>
      <c r="CW14" s="64"/>
    </row>
    <row r="15" spans="1:101">
      <c r="A15" s="855">
        <v>7</v>
      </c>
      <c r="C15" s="1232">
        <f t="shared" si="16"/>
        <v>0.64874999999999772</v>
      </c>
      <c r="D15" s="1232">
        <f t="shared" si="1"/>
        <v>0.64874999999999772</v>
      </c>
      <c r="F15" s="1232">
        <f t="shared" si="2"/>
        <v>0.64874999999999772</v>
      </c>
      <c r="G15" s="1248">
        <v>-0.73325000000001572</v>
      </c>
      <c r="H15" s="1268">
        <v>0.13200000000001344</v>
      </c>
      <c r="I15" s="1232"/>
      <c r="J15" s="1245">
        <v>7</v>
      </c>
      <c r="K15" s="1245"/>
      <c r="L15" s="1232">
        <f t="shared" si="17"/>
        <v>3.8</v>
      </c>
      <c r="M15" s="1232">
        <f t="shared" si="3"/>
        <v>3.8</v>
      </c>
      <c r="N15" s="1232"/>
      <c r="O15" s="1232">
        <f t="shared" si="4"/>
        <v>3.8</v>
      </c>
      <c r="P15" s="1248">
        <v>3</v>
      </c>
      <c r="Q15" s="1249">
        <v>0</v>
      </c>
      <c r="S15" s="1245">
        <v>7</v>
      </c>
      <c r="T15" s="1232">
        <f t="shared" si="18"/>
        <v>0.22499999999999987</v>
      </c>
      <c r="U15" s="1232">
        <f t="shared" si="19"/>
        <v>0.22499999999999987</v>
      </c>
      <c r="V15" s="1248">
        <v>1.885</v>
      </c>
      <c r="W15" s="1249">
        <v>0</v>
      </c>
      <c r="X15" s="1232"/>
      <c r="Y15" s="855">
        <f t="shared" si="20"/>
        <v>8.875</v>
      </c>
      <c r="Z15">
        <f t="shared" si="5"/>
        <v>2.8</v>
      </c>
      <c r="AA15">
        <f t="shared" si="5"/>
        <v>2.8</v>
      </c>
      <c r="AB15">
        <f t="shared" si="5"/>
        <v>2.8</v>
      </c>
      <c r="AC15">
        <f t="shared" si="6"/>
        <v>2.8</v>
      </c>
      <c r="AD15">
        <f t="shared" si="6"/>
        <v>2.8</v>
      </c>
      <c r="AH15" s="25">
        <f t="shared" si="7"/>
        <v>10.875</v>
      </c>
      <c r="AI15" s="14">
        <f t="shared" si="8"/>
        <v>3.6</v>
      </c>
      <c r="AJ15" s="14"/>
      <c r="AL15" s="25">
        <f t="shared" si="9"/>
        <v>11.875</v>
      </c>
      <c r="AM15" s="14">
        <f t="shared" si="10"/>
        <v>3.6</v>
      </c>
      <c r="AN15" s="14"/>
      <c r="AP15" s="25">
        <v>8.875</v>
      </c>
      <c r="AQ15" s="14">
        <f t="shared" si="11"/>
        <v>2.25</v>
      </c>
      <c r="AR15" s="14"/>
      <c r="AS15" s="57"/>
      <c r="AT15" s="57">
        <v>1.375</v>
      </c>
      <c r="AU15" s="64">
        <f t="shared" si="21"/>
        <v>3.3</v>
      </c>
      <c r="AV15" s="64">
        <f t="shared" si="12"/>
        <v>3.3</v>
      </c>
      <c r="AW15" s="64">
        <f t="shared" si="13"/>
        <v>3.3</v>
      </c>
      <c r="AX15" s="64">
        <f t="shared" si="14"/>
        <v>3.3</v>
      </c>
      <c r="AZ15">
        <v>7.25</v>
      </c>
      <c r="BA15">
        <v>105.175</v>
      </c>
      <c r="BB15">
        <v>105.075</v>
      </c>
      <c r="BC15">
        <v>105.075</v>
      </c>
      <c r="BD15" s="64">
        <f t="shared" si="15"/>
        <v>3.05</v>
      </c>
      <c r="BF15">
        <v>7.625</v>
      </c>
      <c r="BH15">
        <v>105.14829999999996</v>
      </c>
      <c r="BI15">
        <f t="shared" si="0"/>
        <v>3.95</v>
      </c>
      <c r="CU15" s="896"/>
      <c r="CV15" s="64"/>
      <c r="CW15" s="64"/>
    </row>
    <row r="16" spans="1:101">
      <c r="A16" s="855">
        <v>7.125</v>
      </c>
      <c r="C16" s="1232">
        <f t="shared" si="16"/>
        <v>0.8987499999999915</v>
      </c>
      <c r="D16" s="1232">
        <f t="shared" si="1"/>
        <v>0.8987499999999915</v>
      </c>
      <c r="F16" s="1232">
        <f t="shared" si="2"/>
        <v>0.8987499999999915</v>
      </c>
      <c r="G16" s="1248">
        <v>-0.63275000000002746</v>
      </c>
      <c r="H16" s="1268">
        <v>0.28150000000001896</v>
      </c>
      <c r="I16" s="1232"/>
      <c r="J16" s="1245">
        <v>7.125</v>
      </c>
      <c r="K16" s="1245"/>
      <c r="L16" s="1232">
        <f t="shared" si="17"/>
        <v>3.8</v>
      </c>
      <c r="M16" s="1232">
        <f t="shared" si="3"/>
        <v>3.8</v>
      </c>
      <c r="N16" s="1232"/>
      <c r="O16" s="1232">
        <f t="shared" si="4"/>
        <v>3.8</v>
      </c>
      <c r="P16" s="1248">
        <v>3</v>
      </c>
      <c r="Q16" s="1249">
        <v>0</v>
      </c>
      <c r="S16" s="1245">
        <v>7.125</v>
      </c>
      <c r="T16" s="1232">
        <f t="shared" si="18"/>
        <v>0.22499999999999987</v>
      </c>
      <c r="U16" s="1232">
        <f t="shared" si="19"/>
        <v>0.22499999999999987</v>
      </c>
      <c r="V16" s="1248">
        <v>1.885</v>
      </c>
      <c r="W16" s="1249">
        <v>0</v>
      </c>
      <c r="X16" s="1232"/>
      <c r="Y16" s="855">
        <f t="shared" si="20"/>
        <v>9</v>
      </c>
      <c r="Z16">
        <f t="shared" si="5"/>
        <v>2.8</v>
      </c>
      <c r="AA16">
        <f t="shared" si="5"/>
        <v>2.8</v>
      </c>
      <c r="AB16">
        <f t="shared" si="5"/>
        <v>2.8</v>
      </c>
      <c r="AC16">
        <f t="shared" si="6"/>
        <v>2.8</v>
      </c>
      <c r="AD16">
        <f t="shared" si="6"/>
        <v>2.8</v>
      </c>
      <c r="AH16" s="25">
        <f t="shared" si="7"/>
        <v>10.75</v>
      </c>
      <c r="AI16" s="14">
        <f t="shared" si="8"/>
        <v>3.6</v>
      </c>
      <c r="AJ16" s="14"/>
      <c r="AL16" s="25">
        <f t="shared" si="9"/>
        <v>11.75</v>
      </c>
      <c r="AM16" s="14">
        <f t="shared" si="10"/>
        <v>3.6</v>
      </c>
      <c r="AN16" s="14"/>
      <c r="AP16" s="25">
        <v>9</v>
      </c>
      <c r="AQ16" s="14">
        <f t="shared" si="11"/>
        <v>2.25</v>
      </c>
      <c r="AR16" s="14"/>
      <c r="AS16" s="57"/>
      <c r="AT16" s="57">
        <v>1.5</v>
      </c>
      <c r="AU16" s="64">
        <f t="shared" si="21"/>
        <v>3.3</v>
      </c>
      <c r="AV16" s="64">
        <f t="shared" si="12"/>
        <v>3.3</v>
      </c>
      <c r="AW16" s="64">
        <f t="shared" si="13"/>
        <v>3.3</v>
      </c>
      <c r="AX16" s="64">
        <f t="shared" si="14"/>
        <v>3.3</v>
      </c>
      <c r="AZ16">
        <v>7.375</v>
      </c>
      <c r="BA16">
        <v>105.70699999999999</v>
      </c>
      <c r="BB16">
        <v>105.607</v>
      </c>
      <c r="BC16">
        <v>105.607</v>
      </c>
      <c r="BD16" s="64">
        <f t="shared" si="15"/>
        <v>3.05</v>
      </c>
      <c r="BF16">
        <v>7.75</v>
      </c>
      <c r="BH16">
        <v>105.44829999999996</v>
      </c>
      <c r="BI16">
        <f t="shared" si="0"/>
        <v>3.95</v>
      </c>
      <c r="CU16" s="896"/>
      <c r="CV16" s="64"/>
      <c r="CW16" s="64"/>
    </row>
    <row r="17" spans="1:101">
      <c r="A17" s="855">
        <v>7.25</v>
      </c>
      <c r="C17" s="1232">
        <f t="shared" si="16"/>
        <v>1.1487499999999915</v>
      </c>
      <c r="D17" s="1232">
        <f t="shared" si="1"/>
        <v>1.1487499999999915</v>
      </c>
      <c r="F17" s="1232">
        <f t="shared" si="2"/>
        <v>1.1487499999999915</v>
      </c>
      <c r="G17" s="1248">
        <v>-0.56400000000003336</v>
      </c>
      <c r="H17" s="1268">
        <v>0.46275000000002486</v>
      </c>
      <c r="I17" s="1232"/>
      <c r="J17" s="1245">
        <v>7.25</v>
      </c>
      <c r="K17" s="1245"/>
      <c r="L17" s="1232">
        <f t="shared" si="17"/>
        <v>3.8</v>
      </c>
      <c r="M17" s="1232">
        <f t="shared" si="3"/>
        <v>3.8</v>
      </c>
      <c r="N17" s="1232"/>
      <c r="O17" s="1232">
        <f t="shared" si="4"/>
        <v>3.8</v>
      </c>
      <c r="P17" s="1248">
        <v>3</v>
      </c>
      <c r="Q17" s="1249">
        <v>0</v>
      </c>
      <c r="S17" s="1245">
        <v>7.25</v>
      </c>
      <c r="T17" s="1232">
        <f t="shared" si="18"/>
        <v>0.22499999999999987</v>
      </c>
      <c r="U17" s="1232">
        <f t="shared" si="19"/>
        <v>0.22499999999999987</v>
      </c>
      <c r="V17" s="1248">
        <v>1.885</v>
      </c>
      <c r="W17" s="1249">
        <v>0</v>
      </c>
      <c r="X17" s="1232"/>
      <c r="Y17" s="855">
        <f t="shared" si="20"/>
        <v>9.125</v>
      </c>
      <c r="Z17">
        <f t="shared" si="5"/>
        <v>2.8</v>
      </c>
      <c r="AA17">
        <f t="shared" si="5"/>
        <v>2.8</v>
      </c>
      <c r="AB17">
        <f t="shared" si="5"/>
        <v>2.8</v>
      </c>
      <c r="AC17">
        <f t="shared" si="6"/>
        <v>2.8</v>
      </c>
      <c r="AD17">
        <f t="shared" si="6"/>
        <v>2.8</v>
      </c>
      <c r="AH17" s="25">
        <f t="shared" si="7"/>
        <v>10.625</v>
      </c>
      <c r="AI17" s="14">
        <f t="shared" si="8"/>
        <v>3.6</v>
      </c>
      <c r="AJ17" s="14"/>
      <c r="AL17" s="25">
        <f t="shared" si="9"/>
        <v>11.625</v>
      </c>
      <c r="AM17" s="14">
        <f t="shared" si="10"/>
        <v>3.6</v>
      </c>
      <c r="AN17" s="14"/>
      <c r="AP17" s="25">
        <v>9.125</v>
      </c>
      <c r="AQ17" s="14">
        <f t="shared" si="11"/>
        <v>2.25</v>
      </c>
      <c r="AR17" s="14"/>
      <c r="AS17" s="57"/>
      <c r="AT17" s="57">
        <v>1.625</v>
      </c>
      <c r="AU17" s="64">
        <f t="shared" si="21"/>
        <v>3.3</v>
      </c>
      <c r="AV17" s="64">
        <f t="shared" si="12"/>
        <v>3.3</v>
      </c>
      <c r="AW17" s="64">
        <f t="shared" si="13"/>
        <v>3.3</v>
      </c>
      <c r="AX17" s="64">
        <f t="shared" si="14"/>
        <v>3.3</v>
      </c>
      <c r="AZ17">
        <v>7.5</v>
      </c>
      <c r="BA17">
        <v>106.14400000000001</v>
      </c>
      <c r="BB17">
        <v>106.044</v>
      </c>
      <c r="BC17">
        <v>106.044</v>
      </c>
      <c r="BD17" s="64">
        <f t="shared" si="15"/>
        <v>3.05</v>
      </c>
      <c r="BF17">
        <v>7.875</v>
      </c>
      <c r="BH17">
        <v>105.69829999999996</v>
      </c>
      <c r="BI17">
        <f t="shared" si="0"/>
        <v>3.95</v>
      </c>
      <c r="CU17" s="896"/>
      <c r="CV17" s="64"/>
      <c r="CW17" s="64"/>
    </row>
    <row r="18" spans="1:101">
      <c r="A18" s="855">
        <v>7.375</v>
      </c>
      <c r="C18" s="1232">
        <f t="shared" si="16"/>
        <v>1.305749999999988</v>
      </c>
      <c r="D18" s="1232">
        <f t="shared" si="1"/>
        <v>1.305749999999988</v>
      </c>
      <c r="F18" s="1232">
        <f t="shared" si="2"/>
        <v>1.305749999999988</v>
      </c>
      <c r="G18" s="1248">
        <v>-0.53325000000003575</v>
      </c>
      <c r="H18" s="1268">
        <v>0.58900000000002373</v>
      </c>
      <c r="I18" s="1232"/>
      <c r="J18" s="1245">
        <v>7.375</v>
      </c>
      <c r="K18" s="1245"/>
      <c r="L18" s="1232">
        <f t="shared" si="17"/>
        <v>3.8</v>
      </c>
      <c r="M18" s="1232">
        <f t="shared" si="3"/>
        <v>3.8</v>
      </c>
      <c r="N18" s="1232"/>
      <c r="O18" s="1232">
        <f t="shared" si="4"/>
        <v>3.8</v>
      </c>
      <c r="P18" s="1248">
        <v>3</v>
      </c>
      <c r="Q18" s="1249">
        <v>0</v>
      </c>
      <c r="S18" s="1245">
        <v>7.375</v>
      </c>
      <c r="T18" s="1232">
        <f t="shared" si="18"/>
        <v>0.22499999999999987</v>
      </c>
      <c r="U18" s="1232">
        <f t="shared" si="19"/>
        <v>0.22499999999999987</v>
      </c>
      <c r="V18" s="1248">
        <v>1.885</v>
      </c>
      <c r="W18" s="1249">
        <v>0</v>
      </c>
      <c r="X18" s="1232"/>
      <c r="Y18" s="855">
        <f t="shared" si="20"/>
        <v>9.25</v>
      </c>
      <c r="Z18">
        <f t="shared" si="5"/>
        <v>2.8</v>
      </c>
      <c r="AA18">
        <f t="shared" si="5"/>
        <v>2.8</v>
      </c>
      <c r="AB18">
        <f t="shared" si="5"/>
        <v>2.8</v>
      </c>
      <c r="AC18">
        <f t="shared" si="6"/>
        <v>2.8</v>
      </c>
      <c r="AD18">
        <f t="shared" si="6"/>
        <v>2.8</v>
      </c>
      <c r="AH18" s="25">
        <f t="shared" si="7"/>
        <v>10.5</v>
      </c>
      <c r="AI18" s="14">
        <f t="shared" si="8"/>
        <v>3.6</v>
      </c>
      <c r="AJ18" s="14"/>
      <c r="AL18" s="25">
        <f t="shared" si="9"/>
        <v>11.5</v>
      </c>
      <c r="AM18" s="14">
        <f t="shared" si="10"/>
        <v>3.6</v>
      </c>
      <c r="AN18" s="14"/>
      <c r="AP18" s="25">
        <v>9.25</v>
      </c>
      <c r="AQ18" s="14">
        <f t="shared" si="11"/>
        <v>2.25</v>
      </c>
      <c r="AR18" s="14"/>
      <c r="AS18" s="57"/>
      <c r="AT18" s="57">
        <v>1.75</v>
      </c>
      <c r="AU18" s="64">
        <f t="shared" si="21"/>
        <v>3.3</v>
      </c>
      <c r="AV18" s="64">
        <f t="shared" si="12"/>
        <v>3.3</v>
      </c>
      <c r="AW18" s="64">
        <f t="shared" si="13"/>
        <v>3.3</v>
      </c>
      <c r="AX18" s="64">
        <f t="shared" si="14"/>
        <v>3.3</v>
      </c>
      <c r="AZ18">
        <v>7.625</v>
      </c>
      <c r="BA18">
        <v>106.58199999999999</v>
      </c>
      <c r="BB18">
        <v>106.482</v>
      </c>
      <c r="BC18">
        <v>106.482</v>
      </c>
      <c r="BD18" s="64">
        <f t="shared" si="15"/>
        <v>3.05</v>
      </c>
      <c r="BF18">
        <v>8</v>
      </c>
      <c r="BH18">
        <v>105.94829999999996</v>
      </c>
      <c r="BI18">
        <f t="shared" si="0"/>
        <v>3.95</v>
      </c>
      <c r="CU18" s="896"/>
      <c r="CV18" s="64"/>
      <c r="CW18" s="64"/>
    </row>
    <row r="19" spans="1:101">
      <c r="A19" s="855">
        <v>7.5</v>
      </c>
      <c r="C19" s="1232">
        <f t="shared" si="16"/>
        <v>1.3677499999999856</v>
      </c>
      <c r="D19" s="1232">
        <f t="shared" si="1"/>
        <v>1.3677499999999856</v>
      </c>
      <c r="F19" s="1232">
        <f t="shared" si="2"/>
        <v>1.3677499999999856</v>
      </c>
      <c r="G19" s="1248">
        <v>-0.52650000000003905</v>
      </c>
      <c r="H19" s="1268">
        <v>0.64425000000002464</v>
      </c>
      <c r="I19" s="1232"/>
      <c r="J19" s="1245">
        <v>7.5</v>
      </c>
      <c r="K19" s="1245"/>
      <c r="L19" s="1232">
        <f t="shared" si="17"/>
        <v>3.8</v>
      </c>
      <c r="M19" s="1232">
        <f t="shared" si="3"/>
        <v>3.8</v>
      </c>
      <c r="N19" s="1232"/>
      <c r="O19" s="1232">
        <f t="shared" si="4"/>
        <v>3.8</v>
      </c>
      <c r="P19" s="1248">
        <v>3</v>
      </c>
      <c r="Q19" s="1249">
        <v>0</v>
      </c>
      <c r="S19" s="1245">
        <v>7.5</v>
      </c>
      <c r="T19" s="1232">
        <f t="shared" si="18"/>
        <v>0.22499999999999987</v>
      </c>
      <c r="U19" s="1232">
        <f t="shared" si="19"/>
        <v>0.22499999999999987</v>
      </c>
      <c r="V19" s="1248">
        <v>1.885</v>
      </c>
      <c r="W19" s="1249">
        <v>0</v>
      </c>
      <c r="X19" s="1232"/>
      <c r="Y19" s="855">
        <f t="shared" si="20"/>
        <v>9.375</v>
      </c>
      <c r="Z19">
        <f t="shared" si="5"/>
        <v>2.8</v>
      </c>
      <c r="AA19">
        <f t="shared" si="5"/>
        <v>2.8</v>
      </c>
      <c r="AB19">
        <f t="shared" si="5"/>
        <v>2.8</v>
      </c>
      <c r="AC19">
        <f t="shared" si="6"/>
        <v>2.8</v>
      </c>
      <c r="AD19">
        <f t="shared" si="6"/>
        <v>2.8</v>
      </c>
      <c r="AH19" s="25">
        <f t="shared" si="7"/>
        <v>10.375</v>
      </c>
      <c r="AI19" s="14">
        <f t="shared" si="8"/>
        <v>3.6</v>
      </c>
      <c r="AJ19" s="14"/>
      <c r="AL19" s="25">
        <f t="shared" si="9"/>
        <v>11.375</v>
      </c>
      <c r="AM19" s="14">
        <f t="shared" si="10"/>
        <v>3.6</v>
      </c>
      <c r="AN19" s="14"/>
      <c r="AP19" s="25">
        <v>9.375</v>
      </c>
      <c r="AQ19" s="14">
        <f t="shared" si="11"/>
        <v>2.25</v>
      </c>
      <c r="AR19" s="14"/>
      <c r="AS19" s="57"/>
      <c r="AT19" s="57">
        <v>1.875</v>
      </c>
      <c r="AU19" s="64">
        <f t="shared" si="21"/>
        <v>3.3</v>
      </c>
      <c r="AV19" s="64">
        <f t="shared" si="12"/>
        <v>3.3</v>
      </c>
      <c r="AW19" s="64">
        <f t="shared" si="13"/>
        <v>3.3</v>
      </c>
      <c r="AX19" s="64">
        <f t="shared" si="14"/>
        <v>3.3</v>
      </c>
      <c r="AZ19">
        <v>7.75</v>
      </c>
      <c r="BA19">
        <v>107.01900000000001</v>
      </c>
      <c r="BB19">
        <v>106.919</v>
      </c>
      <c r="BC19">
        <v>106.919</v>
      </c>
      <c r="BD19" s="64">
        <f t="shared" si="15"/>
        <v>3.05</v>
      </c>
      <c r="BF19">
        <v>8.125</v>
      </c>
      <c r="BH19">
        <v>106.19829999999996</v>
      </c>
      <c r="BI19">
        <f t="shared" si="0"/>
        <v>3.95</v>
      </c>
      <c r="CU19" s="896"/>
      <c r="CV19" s="64"/>
      <c r="CW19" s="64"/>
    </row>
    <row r="20" spans="1:101">
      <c r="A20" s="855">
        <v>7.625</v>
      </c>
      <c r="C20" s="1232">
        <f t="shared" si="16"/>
        <v>1.430749999999988</v>
      </c>
      <c r="D20" s="1232">
        <f t="shared" si="1"/>
        <v>1.430749999999988</v>
      </c>
      <c r="F20" s="1232">
        <f t="shared" si="2"/>
        <v>1.430749999999988</v>
      </c>
      <c r="G20" s="1248">
        <v>-0.50325000000004882</v>
      </c>
      <c r="H20" s="1268">
        <v>0.6840000000000368</v>
      </c>
      <c r="I20" s="1232"/>
      <c r="J20" s="1245">
        <v>7.625</v>
      </c>
      <c r="K20" s="1245"/>
      <c r="L20" s="1232">
        <f t="shared" si="17"/>
        <v>3.8</v>
      </c>
      <c r="M20" s="1232">
        <f t="shared" si="3"/>
        <v>3.8</v>
      </c>
      <c r="N20" s="1232"/>
      <c r="O20" s="1232">
        <f t="shared" si="4"/>
        <v>3.8</v>
      </c>
      <c r="P20" s="1248">
        <v>3</v>
      </c>
      <c r="Q20" s="1249">
        <v>0</v>
      </c>
      <c r="S20" s="1245">
        <v>7.625</v>
      </c>
      <c r="T20" s="1232">
        <f t="shared" si="18"/>
        <v>0.22499999999999987</v>
      </c>
      <c r="U20" s="1232">
        <f t="shared" si="19"/>
        <v>0.22499999999999987</v>
      </c>
      <c r="V20" s="1248">
        <v>1.885</v>
      </c>
      <c r="W20" s="1249">
        <v>0</v>
      </c>
      <c r="X20" s="1232"/>
      <c r="Y20" s="855">
        <f t="shared" si="20"/>
        <v>9.5</v>
      </c>
      <c r="Z20">
        <f t="shared" si="5"/>
        <v>2.8</v>
      </c>
      <c r="AA20">
        <f t="shared" si="5"/>
        <v>2.8</v>
      </c>
      <c r="AB20">
        <f t="shared" si="5"/>
        <v>2.8</v>
      </c>
      <c r="AC20">
        <f t="shared" si="6"/>
        <v>2.8</v>
      </c>
      <c r="AD20">
        <f t="shared" si="6"/>
        <v>2.8</v>
      </c>
      <c r="AH20" s="25">
        <f t="shared" si="7"/>
        <v>10.25</v>
      </c>
      <c r="AI20" s="14">
        <f t="shared" si="8"/>
        <v>3.6</v>
      </c>
      <c r="AJ20" s="14"/>
      <c r="AL20" s="25">
        <f t="shared" si="9"/>
        <v>11.25</v>
      </c>
      <c r="AM20" s="14">
        <f t="shared" si="10"/>
        <v>3.6</v>
      </c>
      <c r="AN20" s="14"/>
      <c r="AP20" s="25">
        <v>9.5</v>
      </c>
      <c r="AQ20" s="14">
        <f t="shared" si="11"/>
        <v>2.25</v>
      </c>
      <c r="AR20" s="14"/>
      <c r="AS20" s="57"/>
      <c r="AT20" s="57">
        <v>2</v>
      </c>
      <c r="AU20" s="64">
        <f t="shared" si="21"/>
        <v>3.3</v>
      </c>
      <c r="AV20" s="64">
        <f t="shared" si="12"/>
        <v>3.3</v>
      </c>
      <c r="AW20" s="64">
        <f t="shared" si="13"/>
        <v>3.3</v>
      </c>
      <c r="AX20" s="64">
        <f t="shared" si="14"/>
        <v>3.3</v>
      </c>
      <c r="AZ20">
        <v>7.875</v>
      </c>
      <c r="BA20">
        <v>107.39400000000001</v>
      </c>
      <c r="BB20">
        <v>107.294</v>
      </c>
      <c r="BC20">
        <v>107.294</v>
      </c>
      <c r="BD20" s="64">
        <f t="shared" si="15"/>
        <v>3.05</v>
      </c>
      <c r="BF20">
        <v>8.25</v>
      </c>
      <c r="BH20">
        <v>106.39829999999996</v>
      </c>
      <c r="BI20">
        <f t="shared" si="0"/>
        <v>3.95</v>
      </c>
      <c r="CU20" s="896"/>
      <c r="CV20" s="64"/>
      <c r="CW20" s="64"/>
    </row>
    <row r="21" spans="1:101">
      <c r="A21" s="855">
        <v>7.75</v>
      </c>
      <c r="C21" s="1232">
        <f t="shared" si="16"/>
        <v>1.4927499999999856</v>
      </c>
      <c r="D21" s="1232">
        <f t="shared" si="1"/>
        <v>1.4927499999999856</v>
      </c>
      <c r="F21" s="1232">
        <f t="shared" si="2"/>
        <v>1.4927499999999856</v>
      </c>
      <c r="G21" s="1248">
        <v>-0.49700000000005451</v>
      </c>
      <c r="H21" s="1268">
        <v>0.7397500000000401</v>
      </c>
      <c r="I21" s="1232"/>
      <c r="J21" s="1245">
        <v>7.75</v>
      </c>
      <c r="K21" s="1245"/>
      <c r="L21" s="1232">
        <f t="shared" si="17"/>
        <v>3.8</v>
      </c>
      <c r="M21" s="1232">
        <f t="shared" si="3"/>
        <v>3.8</v>
      </c>
      <c r="N21" s="1232"/>
      <c r="O21" s="1232">
        <f t="shared" si="4"/>
        <v>3.8</v>
      </c>
      <c r="P21" s="1248">
        <v>3</v>
      </c>
      <c r="Q21" s="1249">
        <v>0</v>
      </c>
      <c r="S21" s="1245">
        <v>7.75</v>
      </c>
      <c r="T21" s="1232">
        <f t="shared" si="18"/>
        <v>0.22499999999999987</v>
      </c>
      <c r="U21" s="1232">
        <f t="shared" si="19"/>
        <v>0.22499999999999987</v>
      </c>
      <c r="V21" s="1248">
        <v>1.885</v>
      </c>
      <c r="W21" s="1249">
        <v>0</v>
      </c>
      <c r="X21" s="1232"/>
      <c r="Y21" s="855">
        <f t="shared" si="20"/>
        <v>9.625</v>
      </c>
      <c r="Z21">
        <f t="shared" si="5"/>
        <v>2.8</v>
      </c>
      <c r="AA21">
        <f t="shared" si="5"/>
        <v>2.8</v>
      </c>
      <c r="AB21">
        <f t="shared" si="5"/>
        <v>2.8</v>
      </c>
      <c r="AC21">
        <f t="shared" si="6"/>
        <v>2.8</v>
      </c>
      <c r="AD21">
        <f t="shared" si="6"/>
        <v>2.8</v>
      </c>
      <c r="AH21" s="25">
        <f t="shared" si="7"/>
        <v>10.125</v>
      </c>
      <c r="AI21" s="14">
        <f t="shared" si="8"/>
        <v>3.6</v>
      </c>
      <c r="AJ21" s="14"/>
      <c r="AL21" s="25">
        <f t="shared" si="9"/>
        <v>11.125</v>
      </c>
      <c r="AM21" s="14">
        <f t="shared" si="10"/>
        <v>3.6</v>
      </c>
      <c r="AN21" s="14"/>
      <c r="AP21" s="25">
        <v>9.625</v>
      </c>
      <c r="AQ21" s="14">
        <f t="shared" si="11"/>
        <v>2.25</v>
      </c>
      <c r="AR21" s="14"/>
      <c r="AS21" s="57"/>
      <c r="AT21" s="57">
        <v>2.125</v>
      </c>
      <c r="AU21" s="64">
        <f t="shared" si="21"/>
        <v>3.3</v>
      </c>
      <c r="AV21" s="64">
        <f t="shared" si="12"/>
        <v>3.3</v>
      </c>
      <c r="AW21" s="64">
        <f t="shared" si="13"/>
        <v>3.3</v>
      </c>
      <c r="AX21" s="64">
        <f t="shared" si="14"/>
        <v>3.3</v>
      </c>
      <c r="AZ21">
        <v>8</v>
      </c>
      <c r="BA21">
        <v>107.76900000000001</v>
      </c>
      <c r="BB21">
        <v>107.669</v>
      </c>
      <c r="BC21">
        <v>107.669</v>
      </c>
      <c r="BD21" s="64">
        <f t="shared" si="15"/>
        <v>3.05</v>
      </c>
      <c r="BF21">
        <v>8.375</v>
      </c>
      <c r="BH21">
        <v>106.59829999999997</v>
      </c>
      <c r="BI21">
        <f t="shared" si="0"/>
        <v>3.95</v>
      </c>
      <c r="CU21" s="896"/>
      <c r="CV21" s="64"/>
      <c r="CW21" s="64"/>
    </row>
    <row r="22" spans="1:101">
      <c r="A22" s="855">
        <v>7.875</v>
      </c>
      <c r="C22" s="1232">
        <f t="shared" si="16"/>
        <v>1.4927499999999856</v>
      </c>
      <c r="D22" s="1232">
        <f t="shared" si="1"/>
        <v>1.4927499999999856</v>
      </c>
      <c r="F22" s="1232">
        <f t="shared" si="2"/>
        <v>1.4927499999999856</v>
      </c>
      <c r="G22" s="1248">
        <v>-0.49700000000005429</v>
      </c>
      <c r="H22" s="1268">
        <v>0.73975000000003988</v>
      </c>
      <c r="I22" s="1232"/>
      <c r="J22" s="1245">
        <v>7.875</v>
      </c>
      <c r="K22" s="1245"/>
      <c r="L22" s="1232">
        <f t="shared" si="17"/>
        <v>3.8</v>
      </c>
      <c r="M22" s="1232">
        <f t="shared" si="3"/>
        <v>3.8</v>
      </c>
      <c r="N22" s="1232"/>
      <c r="O22" s="1232">
        <f t="shared" si="4"/>
        <v>3.8</v>
      </c>
      <c r="P22" s="1248">
        <v>3</v>
      </c>
      <c r="Q22" s="1249">
        <v>0</v>
      </c>
      <c r="S22" s="1245">
        <v>7.875</v>
      </c>
      <c r="T22" s="1232">
        <f t="shared" si="18"/>
        <v>0.22499999999999987</v>
      </c>
      <c r="U22" s="1232">
        <f t="shared" si="19"/>
        <v>0.22499999999999987</v>
      </c>
      <c r="V22" s="1248">
        <v>1.885</v>
      </c>
      <c r="W22" s="1249">
        <v>0</v>
      </c>
      <c r="X22" s="1232"/>
      <c r="Y22" s="855">
        <f t="shared" si="20"/>
        <v>9.75</v>
      </c>
      <c r="Z22">
        <f t="shared" si="5"/>
        <v>2.8</v>
      </c>
      <c r="AA22">
        <f t="shared" si="5"/>
        <v>2.8</v>
      </c>
      <c r="AB22">
        <f t="shared" si="5"/>
        <v>2.8</v>
      </c>
      <c r="AC22">
        <f t="shared" si="6"/>
        <v>2.8</v>
      </c>
      <c r="AD22">
        <f t="shared" si="6"/>
        <v>2.8</v>
      </c>
      <c r="AH22" s="25">
        <f t="shared" si="7"/>
        <v>10</v>
      </c>
      <c r="AI22" s="14">
        <f t="shared" si="8"/>
        <v>3.6</v>
      </c>
      <c r="AJ22" s="14"/>
      <c r="AL22" s="25">
        <f t="shared" si="9"/>
        <v>11</v>
      </c>
      <c r="AM22" s="14">
        <f t="shared" si="10"/>
        <v>3.6</v>
      </c>
      <c r="AN22" s="14"/>
      <c r="AP22" s="25">
        <v>9.75</v>
      </c>
      <c r="AQ22" s="14">
        <f t="shared" si="11"/>
        <v>2.25</v>
      </c>
      <c r="AR22" s="14"/>
      <c r="AS22" s="57"/>
      <c r="AT22" s="57">
        <v>2.25</v>
      </c>
      <c r="AU22" s="64">
        <f t="shared" si="21"/>
        <v>3.3</v>
      </c>
      <c r="AV22" s="64">
        <f t="shared" si="12"/>
        <v>3.3</v>
      </c>
      <c r="AW22" s="64">
        <f t="shared" si="13"/>
        <v>3.3</v>
      </c>
      <c r="AX22" s="64">
        <f t="shared" si="14"/>
        <v>3.3</v>
      </c>
      <c r="AZ22">
        <v>8.125</v>
      </c>
      <c r="BA22">
        <v>108.14400000000001</v>
      </c>
      <c r="BB22">
        <v>108.044</v>
      </c>
      <c r="BC22">
        <v>108.044</v>
      </c>
      <c r="BD22" s="64">
        <f t="shared" si="15"/>
        <v>3.05</v>
      </c>
      <c r="BF22">
        <v>8.5</v>
      </c>
      <c r="BH22">
        <v>106.74829999999997</v>
      </c>
      <c r="BI22">
        <f t="shared" si="0"/>
        <v>3.95</v>
      </c>
      <c r="CU22" s="896"/>
      <c r="CV22" s="64"/>
      <c r="CW22" s="64"/>
    </row>
    <row r="23" spans="1:101">
      <c r="A23" s="855">
        <v>8</v>
      </c>
      <c r="C23" s="1232">
        <f t="shared" si="16"/>
        <v>1.4927499999999856</v>
      </c>
      <c r="D23" s="1232">
        <f t="shared" si="1"/>
        <v>1.4927499999999856</v>
      </c>
      <c r="F23" s="1232">
        <f t="shared" si="2"/>
        <v>1.4927499999999856</v>
      </c>
      <c r="G23" s="1248">
        <v>-0.49700000000005429</v>
      </c>
      <c r="H23" s="1268">
        <v>0.73975000000003988</v>
      </c>
      <c r="I23" s="1232"/>
      <c r="J23" s="1245">
        <v>8</v>
      </c>
      <c r="K23" s="1245"/>
      <c r="L23" s="1232">
        <f t="shared" si="17"/>
        <v>3.8</v>
      </c>
      <c r="M23" s="1232">
        <f t="shared" si="3"/>
        <v>3.8</v>
      </c>
      <c r="N23" s="1232"/>
      <c r="O23" s="1232">
        <f t="shared" si="4"/>
        <v>3.8</v>
      </c>
      <c r="P23" s="1248">
        <v>3</v>
      </c>
      <c r="Q23" s="1249">
        <v>0</v>
      </c>
      <c r="S23" s="1245">
        <v>8</v>
      </c>
      <c r="T23" s="1232">
        <f t="shared" si="18"/>
        <v>0.22499999999999987</v>
      </c>
      <c r="U23" s="1232">
        <f t="shared" si="19"/>
        <v>0.22499999999999987</v>
      </c>
      <c r="V23" s="1248">
        <v>1.885</v>
      </c>
      <c r="W23" s="1249">
        <v>0</v>
      </c>
      <c r="X23" s="1232"/>
      <c r="Y23" s="855">
        <f t="shared" si="20"/>
        <v>9.875</v>
      </c>
      <c r="Z23">
        <f t="shared" si="5"/>
        <v>2.8</v>
      </c>
      <c r="AA23">
        <f t="shared" si="5"/>
        <v>2.8</v>
      </c>
      <c r="AB23">
        <f t="shared" si="5"/>
        <v>2.8</v>
      </c>
      <c r="AC23">
        <f t="shared" si="6"/>
        <v>2.8</v>
      </c>
      <c r="AD23">
        <f t="shared" si="6"/>
        <v>2.8</v>
      </c>
      <c r="AH23" s="25">
        <f t="shared" si="7"/>
        <v>9.875</v>
      </c>
      <c r="AI23" s="14">
        <f t="shared" si="8"/>
        <v>3.6</v>
      </c>
      <c r="AJ23" s="14"/>
      <c r="AL23" s="25">
        <f t="shared" si="9"/>
        <v>10.875</v>
      </c>
      <c r="AM23" s="14">
        <f t="shared" si="10"/>
        <v>3.6</v>
      </c>
      <c r="AN23" s="14"/>
      <c r="AP23" s="25">
        <v>9.875</v>
      </c>
      <c r="AQ23" s="14">
        <f t="shared" si="11"/>
        <v>2.25</v>
      </c>
      <c r="AR23" s="14"/>
      <c r="AS23" s="57"/>
      <c r="AT23" s="57">
        <v>2.375</v>
      </c>
      <c r="AU23" s="64">
        <f t="shared" si="21"/>
        <v>3.3</v>
      </c>
      <c r="AV23" s="64">
        <f t="shared" si="12"/>
        <v>3.3</v>
      </c>
      <c r="AW23" s="64">
        <f t="shared" si="13"/>
        <v>3.3</v>
      </c>
      <c r="AX23" s="64">
        <f t="shared" si="14"/>
        <v>3.3</v>
      </c>
      <c r="AZ23">
        <v>8.25</v>
      </c>
      <c r="BA23">
        <v>108.51900000000001</v>
      </c>
      <c r="BB23">
        <v>108.419</v>
      </c>
      <c r="BC23">
        <v>108.419</v>
      </c>
      <c r="BD23" s="64">
        <f t="shared" si="15"/>
        <v>3.05</v>
      </c>
      <c r="BF23">
        <v>8.625</v>
      </c>
      <c r="BH23">
        <v>106.89829999999998</v>
      </c>
      <c r="BI23">
        <f t="shared" si="0"/>
        <v>3.95</v>
      </c>
      <c r="CU23" s="896"/>
      <c r="CV23" s="64"/>
      <c r="CW23" s="64"/>
    </row>
    <row r="24" spans="1:101">
      <c r="A24" s="855">
        <v>8.125</v>
      </c>
      <c r="C24" s="1232">
        <f t="shared" si="16"/>
        <v>1.4927499999999856</v>
      </c>
      <c r="D24" s="1232">
        <f t="shared" si="1"/>
        <v>1.4927499999999856</v>
      </c>
      <c r="F24" s="1232">
        <f t="shared" si="2"/>
        <v>1.4927499999999856</v>
      </c>
      <c r="G24" s="1248">
        <v>-0.49700000000005429</v>
      </c>
      <c r="H24" s="1268">
        <v>0.73975000000003988</v>
      </c>
      <c r="I24" s="1232"/>
      <c r="J24" s="1245">
        <v>8.125</v>
      </c>
      <c r="K24" s="1245"/>
      <c r="L24" s="1232">
        <f t="shared" si="17"/>
        <v>3.8</v>
      </c>
      <c r="M24" s="1232">
        <f t="shared" si="3"/>
        <v>3.8</v>
      </c>
      <c r="N24" s="1232"/>
      <c r="O24" s="1232">
        <f t="shared" si="4"/>
        <v>3.8</v>
      </c>
      <c r="P24" s="1248">
        <v>3</v>
      </c>
      <c r="Q24" s="1249">
        <v>0</v>
      </c>
      <c r="S24" s="1245">
        <v>8.125</v>
      </c>
      <c r="T24" s="1232">
        <f t="shared" si="18"/>
        <v>0.22499999999999987</v>
      </c>
      <c r="U24" s="1232">
        <f t="shared" si="19"/>
        <v>0.22499999999999987</v>
      </c>
      <c r="V24" s="1248">
        <v>1.885</v>
      </c>
      <c r="W24" s="1249">
        <v>0</v>
      </c>
      <c r="X24" s="1232"/>
      <c r="Y24" s="855">
        <f t="shared" si="20"/>
        <v>10</v>
      </c>
      <c r="Z24">
        <f t="shared" si="5"/>
        <v>2.8</v>
      </c>
      <c r="AA24">
        <f t="shared" si="5"/>
        <v>2.8</v>
      </c>
      <c r="AB24">
        <f t="shared" si="5"/>
        <v>2.8</v>
      </c>
      <c r="AC24">
        <f t="shared" si="6"/>
        <v>2.8</v>
      </c>
      <c r="AD24">
        <f t="shared" si="6"/>
        <v>2.8</v>
      </c>
      <c r="AH24" s="25">
        <f t="shared" si="7"/>
        <v>9.75</v>
      </c>
      <c r="AI24" s="14">
        <f t="shared" si="8"/>
        <v>3.6</v>
      </c>
      <c r="AJ24" s="14"/>
      <c r="AL24" s="25">
        <f t="shared" si="9"/>
        <v>10.75</v>
      </c>
      <c r="AM24" s="14">
        <f t="shared" si="10"/>
        <v>3.6</v>
      </c>
      <c r="AN24" s="14"/>
      <c r="AP24" s="25">
        <v>10</v>
      </c>
      <c r="AQ24" s="14">
        <f t="shared" si="11"/>
        <v>2.25</v>
      </c>
      <c r="AR24" s="14"/>
      <c r="AS24" s="57"/>
      <c r="AT24" s="57">
        <v>2.5</v>
      </c>
      <c r="AU24" s="64">
        <f t="shared" si="21"/>
        <v>3.3</v>
      </c>
      <c r="AV24" s="64">
        <f t="shared" si="12"/>
        <v>3.3</v>
      </c>
      <c r="AW24" s="64">
        <f t="shared" si="13"/>
        <v>3.3</v>
      </c>
      <c r="AX24" s="64">
        <f t="shared" si="14"/>
        <v>3.3</v>
      </c>
      <c r="AZ24">
        <v>8.375</v>
      </c>
      <c r="BA24">
        <v>108.89400000000001</v>
      </c>
      <c r="BB24">
        <v>108.794</v>
      </c>
      <c r="BC24">
        <v>108.794</v>
      </c>
      <c r="BD24" s="64">
        <f t="shared" si="15"/>
        <v>3.05</v>
      </c>
      <c r="BF24">
        <v>8.75</v>
      </c>
      <c r="BH24">
        <v>107.04829999999998</v>
      </c>
      <c r="BI24">
        <f t="shared" si="0"/>
        <v>3.95</v>
      </c>
      <c r="CU24" s="896"/>
      <c r="CV24" s="64"/>
      <c r="CW24" s="64"/>
    </row>
    <row r="25" spans="1:101">
      <c r="A25" s="855">
        <v>8.25</v>
      </c>
      <c r="C25" s="1232">
        <f t="shared" si="16"/>
        <v>1.4927499999999856</v>
      </c>
      <c r="D25" s="1232">
        <f t="shared" si="1"/>
        <v>1.4927499999999856</v>
      </c>
      <c r="F25" s="1232">
        <f t="shared" si="2"/>
        <v>1.4927499999999856</v>
      </c>
      <c r="G25" s="1248">
        <v>-0.49700000000005429</v>
      </c>
      <c r="H25" s="1268">
        <v>0.73975000000003988</v>
      </c>
      <c r="I25" s="1232"/>
      <c r="J25" s="1245">
        <v>8.25</v>
      </c>
      <c r="K25" s="1245"/>
      <c r="L25" s="1232">
        <f t="shared" si="17"/>
        <v>3.8</v>
      </c>
      <c r="M25" s="1232">
        <f t="shared" si="3"/>
        <v>3.8</v>
      </c>
      <c r="N25" s="1232"/>
      <c r="O25" s="1232">
        <f t="shared" si="4"/>
        <v>3.8</v>
      </c>
      <c r="P25" s="1248">
        <v>3</v>
      </c>
      <c r="Q25" s="1249">
        <v>0</v>
      </c>
      <c r="S25" s="1245">
        <v>8.25</v>
      </c>
      <c r="T25" s="1232">
        <f t="shared" si="18"/>
        <v>0.22499999999999987</v>
      </c>
      <c r="U25" s="1232">
        <f t="shared" si="19"/>
        <v>0.22499999999999987</v>
      </c>
      <c r="V25" s="1248">
        <v>1.885</v>
      </c>
      <c r="W25" s="1249">
        <v>0</v>
      </c>
      <c r="X25" s="1232"/>
      <c r="Y25" s="855">
        <f t="shared" si="20"/>
        <v>10.125</v>
      </c>
      <c r="Z25">
        <f t="shared" si="5"/>
        <v>2.8</v>
      </c>
      <c r="AA25">
        <f t="shared" si="5"/>
        <v>2.8</v>
      </c>
      <c r="AB25">
        <f t="shared" si="5"/>
        <v>2.8</v>
      </c>
      <c r="AC25">
        <f t="shared" si="6"/>
        <v>2.8</v>
      </c>
      <c r="AD25">
        <f t="shared" si="6"/>
        <v>2.8</v>
      </c>
      <c r="AH25" s="25">
        <f t="shared" si="7"/>
        <v>9.625</v>
      </c>
      <c r="AI25" s="14">
        <f t="shared" si="8"/>
        <v>3.6</v>
      </c>
      <c r="AJ25" s="14"/>
      <c r="AL25" s="25">
        <f t="shared" si="9"/>
        <v>10.625</v>
      </c>
      <c r="AM25" s="14">
        <f t="shared" si="10"/>
        <v>3.6</v>
      </c>
      <c r="AN25" s="14"/>
      <c r="AP25" s="25">
        <v>10.125</v>
      </c>
      <c r="AQ25" s="14">
        <f t="shared" si="11"/>
        <v>2.25</v>
      </c>
      <c r="AR25" s="14"/>
      <c r="AS25" s="57"/>
      <c r="AT25" s="57">
        <v>2.625</v>
      </c>
      <c r="AU25" s="64">
        <f t="shared" si="21"/>
        <v>3.3</v>
      </c>
      <c r="AV25" s="64">
        <f t="shared" si="12"/>
        <v>3.3</v>
      </c>
      <c r="AW25" s="64">
        <f t="shared" si="13"/>
        <v>3.3</v>
      </c>
      <c r="AX25" s="64">
        <f t="shared" si="14"/>
        <v>3.3</v>
      </c>
      <c r="AZ25">
        <v>8.5</v>
      </c>
      <c r="BA25">
        <v>109.20699999999999</v>
      </c>
      <c r="BB25">
        <v>109.107</v>
      </c>
      <c r="BC25">
        <v>109.107</v>
      </c>
      <c r="BD25" s="64">
        <f t="shared" si="15"/>
        <v>3.05</v>
      </c>
      <c r="BF25">
        <v>8.875</v>
      </c>
      <c r="BH25">
        <v>107.17329999999998</v>
      </c>
      <c r="BI25">
        <f>BI24</f>
        <v>3.95</v>
      </c>
      <c r="CU25" s="896"/>
      <c r="CV25" s="64"/>
      <c r="CW25" s="64"/>
    </row>
    <row r="26" spans="1:101">
      <c r="A26" s="855">
        <v>8.375</v>
      </c>
      <c r="C26" s="1232">
        <f t="shared" si="16"/>
        <v>1.4927499999999856</v>
      </c>
      <c r="D26" s="1232">
        <f t="shared" si="1"/>
        <v>1.4927499999999856</v>
      </c>
      <c r="F26" s="1232">
        <f t="shared" si="2"/>
        <v>1.4927499999999856</v>
      </c>
      <c r="G26" s="1248">
        <v>-0.49700000000005429</v>
      </c>
      <c r="H26" s="1268">
        <v>0.73975000000003988</v>
      </c>
      <c r="I26" s="1232"/>
      <c r="J26" s="1245">
        <v>8.375</v>
      </c>
      <c r="K26" s="1245"/>
      <c r="L26" s="1232">
        <f t="shared" si="17"/>
        <v>3.8</v>
      </c>
      <c r="M26" s="1232">
        <f t="shared" si="3"/>
        <v>3.8</v>
      </c>
      <c r="N26" s="1232"/>
      <c r="O26" s="1232">
        <f t="shared" si="4"/>
        <v>3.8</v>
      </c>
      <c r="P26" s="1248">
        <v>3</v>
      </c>
      <c r="Q26" s="1249">
        <v>0</v>
      </c>
      <c r="S26" s="1245">
        <v>8.375</v>
      </c>
      <c r="T26" s="1232">
        <f t="shared" si="18"/>
        <v>0.22499999999999987</v>
      </c>
      <c r="U26" s="1232">
        <f t="shared" si="19"/>
        <v>0.22499999999999987</v>
      </c>
      <c r="V26" s="1248">
        <v>1.885</v>
      </c>
      <c r="W26" s="1249">
        <v>0</v>
      </c>
      <c r="X26" s="1232"/>
      <c r="Y26" s="855">
        <f t="shared" si="20"/>
        <v>10.25</v>
      </c>
      <c r="Z26">
        <f t="shared" si="5"/>
        <v>2.8</v>
      </c>
      <c r="AA26">
        <f t="shared" si="5"/>
        <v>2.8</v>
      </c>
      <c r="AB26">
        <f t="shared" si="5"/>
        <v>2.8</v>
      </c>
      <c r="AC26">
        <f t="shared" si="6"/>
        <v>2.8</v>
      </c>
      <c r="AD26">
        <f t="shared" si="6"/>
        <v>2.8</v>
      </c>
      <c r="AH26" s="25">
        <f t="shared" si="7"/>
        <v>9.5</v>
      </c>
      <c r="AI26" s="14">
        <f t="shared" si="8"/>
        <v>3.6</v>
      </c>
      <c r="AJ26" s="14"/>
      <c r="AL26" s="25">
        <f t="shared" si="9"/>
        <v>10.5</v>
      </c>
      <c r="AM26" s="14">
        <f t="shared" si="10"/>
        <v>3.6</v>
      </c>
      <c r="AN26" s="14"/>
      <c r="AP26" s="25">
        <v>10.25</v>
      </c>
      <c r="AQ26" s="14">
        <f t="shared" si="11"/>
        <v>2.25</v>
      </c>
      <c r="AR26" s="14"/>
      <c r="AS26" s="57"/>
      <c r="AT26" s="57">
        <v>2.75</v>
      </c>
      <c r="AU26" s="64">
        <f t="shared" si="21"/>
        <v>3.3</v>
      </c>
      <c r="AV26" s="64">
        <f t="shared" si="12"/>
        <v>3.3</v>
      </c>
      <c r="AW26" s="64">
        <f t="shared" si="13"/>
        <v>3.3</v>
      </c>
      <c r="AX26" s="64">
        <f t="shared" si="14"/>
        <v>3.3</v>
      </c>
      <c r="AZ26">
        <v>8.625</v>
      </c>
      <c r="BA26">
        <v>109.51900000000001</v>
      </c>
      <c r="BB26">
        <v>109.419</v>
      </c>
      <c r="BC26">
        <v>109.419</v>
      </c>
      <c r="BD26" s="64">
        <f t="shared" si="15"/>
        <v>3.05</v>
      </c>
      <c r="BF26">
        <v>9</v>
      </c>
      <c r="BH26">
        <v>107.29829999999998</v>
      </c>
      <c r="BI26">
        <f t="shared" si="0"/>
        <v>3.95</v>
      </c>
      <c r="CU26" s="896"/>
      <c r="CV26" s="64"/>
      <c r="CW26" s="64"/>
    </row>
    <row r="27" spans="1:101">
      <c r="A27" s="855">
        <v>8.5</v>
      </c>
      <c r="C27" s="1232">
        <f t="shared" si="16"/>
        <v>1.555749999999988</v>
      </c>
      <c r="D27" s="1232">
        <f t="shared" si="1"/>
        <v>1.555749999999988</v>
      </c>
      <c r="F27" s="1232">
        <f t="shared" si="2"/>
        <v>1.555749999999988</v>
      </c>
      <c r="G27" s="1248">
        <v>-0.49700000000005429</v>
      </c>
      <c r="H27" s="1268">
        <v>0.80275000000004226</v>
      </c>
      <c r="I27" s="1232"/>
      <c r="J27" s="1245">
        <v>8.5</v>
      </c>
      <c r="K27" s="1245"/>
      <c r="L27" s="1232">
        <f t="shared" si="17"/>
        <v>3.8</v>
      </c>
      <c r="M27" s="1232">
        <f t="shared" si="3"/>
        <v>3.8</v>
      </c>
      <c r="N27" s="1232"/>
      <c r="O27" s="1232">
        <f t="shared" si="4"/>
        <v>3.8</v>
      </c>
      <c r="P27" s="1248">
        <v>3</v>
      </c>
      <c r="Q27" s="1249">
        <v>0</v>
      </c>
      <c r="S27" s="1245">
        <v>8.5</v>
      </c>
      <c r="T27" s="1232">
        <f t="shared" si="18"/>
        <v>0.22499999999999987</v>
      </c>
      <c r="U27" s="1232">
        <f t="shared" si="19"/>
        <v>0.22499999999999987</v>
      </c>
      <c r="V27" s="1248">
        <v>1.885</v>
      </c>
      <c r="W27" s="1249">
        <v>0</v>
      </c>
      <c r="X27" s="1232"/>
      <c r="Y27" s="855">
        <f t="shared" si="20"/>
        <v>10.375</v>
      </c>
      <c r="Z27">
        <f t="shared" si="5"/>
        <v>2.8</v>
      </c>
      <c r="AA27">
        <f t="shared" si="5"/>
        <v>2.8</v>
      </c>
      <c r="AB27">
        <f t="shared" si="5"/>
        <v>2.8</v>
      </c>
      <c r="AC27">
        <f t="shared" si="6"/>
        <v>2.8</v>
      </c>
      <c r="AD27">
        <f t="shared" si="6"/>
        <v>2.8</v>
      </c>
      <c r="AH27" s="25">
        <f t="shared" si="7"/>
        <v>9.375</v>
      </c>
      <c r="AI27" s="14">
        <f t="shared" si="8"/>
        <v>3.6</v>
      </c>
      <c r="AJ27" s="14"/>
      <c r="AL27" s="25">
        <f t="shared" si="9"/>
        <v>10.375</v>
      </c>
      <c r="AM27" s="14">
        <f t="shared" si="10"/>
        <v>3.6</v>
      </c>
      <c r="AN27" s="14"/>
      <c r="AP27" s="25">
        <v>10.375</v>
      </c>
      <c r="AQ27" s="14">
        <f t="shared" si="11"/>
        <v>2.25</v>
      </c>
      <c r="AR27" s="14"/>
      <c r="AS27" s="57"/>
      <c r="AT27" s="57">
        <v>2.875</v>
      </c>
      <c r="AU27" s="64">
        <f t="shared" si="21"/>
        <v>3.3</v>
      </c>
      <c r="AV27" s="64">
        <f t="shared" si="12"/>
        <v>3.3</v>
      </c>
      <c r="AW27" s="64">
        <f t="shared" si="13"/>
        <v>3.3</v>
      </c>
      <c r="AX27" s="64">
        <f t="shared" si="14"/>
        <v>3.3</v>
      </c>
      <c r="AZ27">
        <v>8.75</v>
      </c>
      <c r="BA27">
        <v>109.83199999999999</v>
      </c>
      <c r="BB27">
        <v>109.732</v>
      </c>
      <c r="BC27">
        <v>109.732</v>
      </c>
      <c r="BD27" s="64">
        <f t="shared" si="15"/>
        <v>3.05</v>
      </c>
      <c r="BF27">
        <v>9.125</v>
      </c>
      <c r="BH27">
        <v>107.42329999999998</v>
      </c>
      <c r="BI27">
        <f t="shared" si="0"/>
        <v>3.95</v>
      </c>
      <c r="CU27" s="896"/>
      <c r="CV27" s="64"/>
      <c r="CW27" s="64"/>
    </row>
    <row r="28" spans="1:101">
      <c r="A28" s="855">
        <v>8.625</v>
      </c>
      <c r="C28" s="1232">
        <f t="shared" si="16"/>
        <v>1.617749999999986</v>
      </c>
      <c r="D28" s="1232">
        <f t="shared" si="1"/>
        <v>1.617749999999986</v>
      </c>
      <c r="F28" s="1232">
        <f t="shared" si="2"/>
        <v>1.617749999999986</v>
      </c>
      <c r="G28" s="1248">
        <v>-0.49700000000005384</v>
      </c>
      <c r="H28" s="1268">
        <v>0.86475000000003988</v>
      </c>
      <c r="I28" s="1232"/>
      <c r="J28" s="1245">
        <v>8.625</v>
      </c>
      <c r="K28" s="1245"/>
      <c r="L28" s="1232">
        <f t="shared" si="17"/>
        <v>3.8</v>
      </c>
      <c r="M28" s="1232">
        <f t="shared" si="3"/>
        <v>3.8</v>
      </c>
      <c r="N28" s="1232"/>
      <c r="O28" s="1232">
        <f t="shared" si="4"/>
        <v>3.8</v>
      </c>
      <c r="P28" s="1248">
        <v>3</v>
      </c>
      <c r="Q28" s="1249">
        <v>0</v>
      </c>
      <c r="S28" s="1245">
        <v>8.625</v>
      </c>
      <c r="T28" s="1232">
        <f t="shared" si="18"/>
        <v>0.22499999999999987</v>
      </c>
      <c r="U28" s="1232">
        <f t="shared" si="19"/>
        <v>0.22499999999999987</v>
      </c>
      <c r="V28" s="1248">
        <v>1.885</v>
      </c>
      <c r="W28" s="1249">
        <v>0</v>
      </c>
      <c r="X28" s="1232"/>
      <c r="Y28" s="855">
        <f t="shared" si="20"/>
        <v>10.5</v>
      </c>
      <c r="Z28">
        <f t="shared" si="5"/>
        <v>2.8</v>
      </c>
      <c r="AA28">
        <f t="shared" si="5"/>
        <v>2.8</v>
      </c>
      <c r="AB28">
        <f t="shared" si="5"/>
        <v>2.8</v>
      </c>
      <c r="AC28">
        <f t="shared" si="6"/>
        <v>2.8</v>
      </c>
      <c r="AD28">
        <f t="shared" si="6"/>
        <v>2.8</v>
      </c>
      <c r="AH28" s="25">
        <f t="shared" si="7"/>
        <v>9.25</v>
      </c>
      <c r="AI28" s="14">
        <f t="shared" si="8"/>
        <v>3.6</v>
      </c>
      <c r="AJ28" s="14"/>
      <c r="AL28" s="25">
        <f t="shared" si="9"/>
        <v>10.25</v>
      </c>
      <c r="AM28" s="14">
        <f t="shared" si="10"/>
        <v>3.6</v>
      </c>
      <c r="AN28" s="14"/>
      <c r="AP28" s="25">
        <v>10.5</v>
      </c>
      <c r="AQ28" s="14">
        <f t="shared" si="11"/>
        <v>2.25</v>
      </c>
      <c r="AT28" s="57">
        <v>3</v>
      </c>
      <c r="AU28" s="64">
        <f t="shared" si="21"/>
        <v>3.3</v>
      </c>
      <c r="AV28" s="64">
        <f t="shared" si="12"/>
        <v>3.3</v>
      </c>
      <c r="AW28" s="64">
        <f t="shared" si="13"/>
        <v>3.3</v>
      </c>
      <c r="AX28" s="64">
        <f t="shared" si="14"/>
        <v>3.3</v>
      </c>
      <c r="AZ28">
        <v>8.875</v>
      </c>
      <c r="BA28">
        <v>110.08199999999999</v>
      </c>
      <c r="BB28">
        <v>109.982</v>
      </c>
      <c r="BC28">
        <v>109.982</v>
      </c>
      <c r="BD28" s="64">
        <f t="shared" si="15"/>
        <v>3.05</v>
      </c>
      <c r="BF28">
        <v>9.25</v>
      </c>
      <c r="BH28">
        <v>107.53329999999998</v>
      </c>
      <c r="BI28">
        <f t="shared" si="0"/>
        <v>3.95</v>
      </c>
      <c r="CU28" s="896"/>
      <c r="CV28" s="64"/>
      <c r="CW28" s="64"/>
    </row>
    <row r="29" spans="1:101">
      <c r="A29" s="855">
        <v>8.75</v>
      </c>
      <c r="C29" s="1232">
        <f t="shared" si="16"/>
        <v>1.6807499999999884</v>
      </c>
      <c r="D29" s="1232">
        <f t="shared" si="1"/>
        <v>1.6807499999999884</v>
      </c>
      <c r="F29" s="1232">
        <f t="shared" si="2"/>
        <v>1.6807499999999884</v>
      </c>
      <c r="G29" s="1248">
        <v>-0.37200000000005384</v>
      </c>
      <c r="H29" s="1268">
        <v>0.80275000000004226</v>
      </c>
      <c r="I29" s="1232"/>
      <c r="J29" s="1245">
        <v>8.75</v>
      </c>
      <c r="K29" s="1245"/>
      <c r="L29" s="1232">
        <f t="shared" si="17"/>
        <v>3.8</v>
      </c>
      <c r="M29" s="1232">
        <f t="shared" si="3"/>
        <v>3.8</v>
      </c>
      <c r="N29" s="1232"/>
      <c r="O29" s="1232">
        <f t="shared" si="4"/>
        <v>3.8</v>
      </c>
      <c r="P29" s="1248">
        <v>3</v>
      </c>
      <c r="Q29" s="1249">
        <v>0</v>
      </c>
      <c r="S29" s="1245">
        <v>8.75</v>
      </c>
      <c r="T29" s="1232">
        <f t="shared" si="18"/>
        <v>0.22499999999999987</v>
      </c>
      <c r="U29" s="1232">
        <f t="shared" si="19"/>
        <v>0.22499999999999987</v>
      </c>
      <c r="V29" s="1248">
        <v>1.885</v>
      </c>
      <c r="W29" s="1249">
        <v>0</v>
      </c>
      <c r="X29" s="1232"/>
      <c r="Y29" s="855">
        <f t="shared" si="20"/>
        <v>10.625</v>
      </c>
      <c r="Z29">
        <f t="shared" si="5"/>
        <v>2.8</v>
      </c>
      <c r="AA29">
        <f t="shared" si="5"/>
        <v>2.8</v>
      </c>
      <c r="AB29">
        <f t="shared" si="5"/>
        <v>2.8</v>
      </c>
      <c r="AC29">
        <f t="shared" si="6"/>
        <v>2.8</v>
      </c>
      <c r="AD29">
        <f t="shared" si="6"/>
        <v>2.8</v>
      </c>
      <c r="AH29" s="25">
        <f t="shared" si="7"/>
        <v>9.125</v>
      </c>
      <c r="AI29" s="14">
        <f t="shared" si="8"/>
        <v>3.6</v>
      </c>
      <c r="AJ29" s="14"/>
      <c r="AL29" s="25">
        <f t="shared" si="9"/>
        <v>10.125</v>
      </c>
      <c r="AM29" s="14">
        <f t="shared" si="10"/>
        <v>3.6</v>
      </c>
      <c r="AN29" s="14"/>
      <c r="AP29" s="25">
        <v>10.625</v>
      </c>
      <c r="AQ29" s="14">
        <f t="shared" si="11"/>
        <v>2.25</v>
      </c>
      <c r="AT29" s="57">
        <v>3.125</v>
      </c>
      <c r="AU29" s="64">
        <f t="shared" si="21"/>
        <v>3.3</v>
      </c>
      <c r="AV29" s="64">
        <f t="shared" si="12"/>
        <v>3.3</v>
      </c>
      <c r="AW29" s="64">
        <f t="shared" si="13"/>
        <v>3.3</v>
      </c>
      <c r="AX29" s="64">
        <f t="shared" si="14"/>
        <v>3.3</v>
      </c>
      <c r="AZ29">
        <v>9</v>
      </c>
      <c r="BA29">
        <v>110.33199999999999</v>
      </c>
      <c r="BB29">
        <v>110.232</v>
      </c>
      <c r="BC29">
        <v>110.232</v>
      </c>
      <c r="BD29" s="64">
        <f t="shared" si="15"/>
        <v>3.05</v>
      </c>
      <c r="BF29">
        <v>9.375</v>
      </c>
      <c r="BH29">
        <v>107.64329999999998</v>
      </c>
      <c r="BI29">
        <f t="shared" si="0"/>
        <v>3.95</v>
      </c>
      <c r="CU29" s="896"/>
      <c r="CV29" s="64"/>
      <c r="CW29" s="64"/>
    </row>
    <row r="30" spans="1:101">
      <c r="A30" s="855">
        <v>8.875</v>
      </c>
      <c r="C30" s="1232">
        <f t="shared" si="16"/>
        <v>1.6807499999999884</v>
      </c>
      <c r="D30" s="1232">
        <f t="shared" si="1"/>
        <v>1.6807499999999884</v>
      </c>
      <c r="F30" s="1232">
        <f t="shared" si="2"/>
        <v>1.6807499999999884</v>
      </c>
      <c r="G30" s="1248">
        <v>-0.24700000000005384</v>
      </c>
      <c r="H30" s="1268">
        <v>0.67775000000004226</v>
      </c>
      <c r="I30" s="1232"/>
      <c r="J30" s="1245">
        <v>8.875</v>
      </c>
      <c r="K30" s="1245"/>
      <c r="L30" s="1232">
        <f t="shared" si="17"/>
        <v>3.8</v>
      </c>
      <c r="M30" s="1232">
        <f t="shared" si="3"/>
        <v>3.8</v>
      </c>
      <c r="N30" s="1232"/>
      <c r="O30" s="1232">
        <f t="shared" si="4"/>
        <v>3.8</v>
      </c>
      <c r="P30" s="1248">
        <v>3</v>
      </c>
      <c r="Q30" s="1249">
        <v>0</v>
      </c>
      <c r="S30" s="1245">
        <v>8.875</v>
      </c>
      <c r="T30" s="1232">
        <f t="shared" si="18"/>
        <v>0.22499999999999987</v>
      </c>
      <c r="U30" s="1232">
        <f t="shared" si="19"/>
        <v>0.22499999999999987</v>
      </c>
      <c r="V30" s="1248">
        <v>1.885</v>
      </c>
      <c r="W30" s="1249">
        <v>0</v>
      </c>
      <c r="X30" s="1232"/>
      <c r="Y30" s="855">
        <f t="shared" si="20"/>
        <v>10.75</v>
      </c>
      <c r="Z30">
        <f t="shared" si="5"/>
        <v>2.8</v>
      </c>
      <c r="AA30">
        <f t="shared" si="5"/>
        <v>2.8</v>
      </c>
      <c r="AB30">
        <f t="shared" si="5"/>
        <v>2.8</v>
      </c>
      <c r="AC30">
        <f t="shared" si="6"/>
        <v>2.8</v>
      </c>
      <c r="AD30">
        <f t="shared" si="6"/>
        <v>2.8</v>
      </c>
      <c r="AH30" s="25">
        <f t="shared" si="7"/>
        <v>9</v>
      </c>
      <c r="AI30" s="14">
        <f t="shared" si="8"/>
        <v>3.6</v>
      </c>
      <c r="AJ30" s="14"/>
      <c r="AL30" s="25">
        <f t="shared" si="9"/>
        <v>10</v>
      </c>
      <c r="AM30" s="14">
        <f t="shared" si="10"/>
        <v>3.6</v>
      </c>
      <c r="AN30" s="14"/>
      <c r="AP30" s="25">
        <v>10.75</v>
      </c>
      <c r="AQ30" s="14">
        <f t="shared" si="11"/>
        <v>2.25</v>
      </c>
      <c r="AT30" s="57">
        <v>3.25</v>
      </c>
      <c r="AU30" s="64">
        <f t="shared" si="21"/>
        <v>3.3</v>
      </c>
      <c r="AV30" s="64">
        <f t="shared" si="12"/>
        <v>3.3</v>
      </c>
      <c r="AW30" s="64">
        <f t="shared" si="13"/>
        <v>3.3</v>
      </c>
      <c r="AX30" s="64">
        <f t="shared" si="14"/>
        <v>3.3</v>
      </c>
      <c r="AZ30">
        <v>9.125</v>
      </c>
      <c r="BA30">
        <v>110.58199999999999</v>
      </c>
      <c r="BB30">
        <v>110.482</v>
      </c>
      <c r="BC30">
        <v>110.482</v>
      </c>
      <c r="BD30" s="64">
        <f t="shared" si="15"/>
        <v>3.05</v>
      </c>
      <c r="BF30">
        <v>9.5</v>
      </c>
      <c r="BH30">
        <v>107.74329999999998</v>
      </c>
      <c r="BI30">
        <f t="shared" si="0"/>
        <v>3.95</v>
      </c>
      <c r="CU30" s="896"/>
      <c r="CV30" s="64"/>
      <c r="CW30" s="64"/>
    </row>
    <row r="31" spans="1:101">
      <c r="A31" s="855">
        <v>9</v>
      </c>
      <c r="C31" s="1232">
        <f t="shared" si="16"/>
        <v>1.6807499999999884</v>
      </c>
      <c r="D31" s="1232">
        <f t="shared" si="1"/>
        <v>1.6807499999999884</v>
      </c>
      <c r="F31" s="1232">
        <f t="shared" si="2"/>
        <v>1.6807499999999884</v>
      </c>
      <c r="G31" s="1248">
        <v>-0.12200000000005384</v>
      </c>
      <c r="H31" s="1268">
        <v>0.55275000000004226</v>
      </c>
      <c r="I31" s="1232"/>
      <c r="J31" s="1245">
        <v>9</v>
      </c>
      <c r="K31" s="1245"/>
      <c r="L31" s="1232">
        <f t="shared" si="17"/>
        <v>3.8</v>
      </c>
      <c r="M31" s="1232">
        <f t="shared" si="3"/>
        <v>3.8</v>
      </c>
      <c r="N31" s="1232"/>
      <c r="O31" s="1232">
        <f t="shared" si="4"/>
        <v>3.8</v>
      </c>
      <c r="P31" s="1248">
        <v>3</v>
      </c>
      <c r="Q31" s="1249">
        <v>0</v>
      </c>
      <c r="S31" s="1245"/>
      <c r="Y31" s="855">
        <f t="shared" si="20"/>
        <v>10.875</v>
      </c>
      <c r="Z31">
        <f t="shared" si="5"/>
        <v>2.8</v>
      </c>
      <c r="AA31">
        <f t="shared" si="5"/>
        <v>2.8</v>
      </c>
      <c r="AB31">
        <f t="shared" si="5"/>
        <v>2.8</v>
      </c>
      <c r="AC31">
        <f t="shared" si="6"/>
        <v>2.8</v>
      </c>
      <c r="AD31">
        <f t="shared" si="6"/>
        <v>2.8</v>
      </c>
      <c r="AH31" s="25">
        <f t="shared" si="7"/>
        <v>8.875</v>
      </c>
      <c r="AI31" s="14">
        <f t="shared" si="8"/>
        <v>3.6</v>
      </c>
      <c r="AJ31" s="14"/>
      <c r="AL31" s="25">
        <f t="shared" si="9"/>
        <v>9.875</v>
      </c>
      <c r="AM31" s="14">
        <f t="shared" si="10"/>
        <v>3.6</v>
      </c>
      <c r="AN31" s="14"/>
      <c r="AP31" s="25">
        <v>10.875</v>
      </c>
      <c r="AQ31" s="14">
        <f t="shared" si="11"/>
        <v>2.25</v>
      </c>
      <c r="AT31" s="57">
        <v>3.375</v>
      </c>
      <c r="AU31" s="64">
        <f t="shared" si="21"/>
        <v>3.3</v>
      </c>
      <c r="AV31" s="64">
        <f t="shared" si="12"/>
        <v>3.3</v>
      </c>
      <c r="AW31" s="64">
        <f t="shared" si="13"/>
        <v>3.3</v>
      </c>
      <c r="AX31" s="64">
        <f t="shared" si="14"/>
        <v>3.3</v>
      </c>
      <c r="AZ31">
        <v>9.25</v>
      </c>
      <c r="BA31">
        <v>110.83199999999999</v>
      </c>
      <c r="BB31">
        <v>110.732</v>
      </c>
      <c r="BC31">
        <v>110.732</v>
      </c>
      <c r="BD31" s="64">
        <f t="shared" si="15"/>
        <v>3.05</v>
      </c>
      <c r="BF31">
        <v>9.625</v>
      </c>
      <c r="BH31">
        <v>107.84329999999997</v>
      </c>
      <c r="BI31">
        <f t="shared" si="0"/>
        <v>3.95</v>
      </c>
      <c r="CU31" s="896"/>
      <c r="CV31" s="64"/>
      <c r="CW31" s="64"/>
    </row>
    <row r="32" spans="1:101">
      <c r="A32" s="855">
        <v>9.125</v>
      </c>
      <c r="C32" s="1232">
        <f t="shared" si="16"/>
        <v>1.6807499999999922</v>
      </c>
      <c r="D32" s="1232">
        <f t="shared" si="1"/>
        <v>1.6807499999999922</v>
      </c>
      <c r="F32" s="1232">
        <f t="shared" si="2"/>
        <v>1.6807499999999922</v>
      </c>
      <c r="G32" s="1248">
        <v>-5.9000000000051234E-2</v>
      </c>
      <c r="H32" s="1268">
        <v>0.48975000000004343</v>
      </c>
      <c r="I32" s="1232"/>
      <c r="J32" s="1245">
        <v>9.125</v>
      </c>
      <c r="K32" s="1245"/>
      <c r="L32" s="1232">
        <f t="shared" si="17"/>
        <v>3.8</v>
      </c>
      <c r="M32" s="1232">
        <f t="shared" si="3"/>
        <v>3.8</v>
      </c>
      <c r="N32" s="1232"/>
      <c r="O32" s="1232">
        <f t="shared" si="4"/>
        <v>3.8</v>
      </c>
      <c r="P32" s="1248">
        <v>3</v>
      </c>
      <c r="Q32" s="1249">
        <v>0</v>
      </c>
      <c r="Y32" s="855">
        <f t="shared" si="20"/>
        <v>11</v>
      </c>
      <c r="Z32">
        <f t="shared" si="5"/>
        <v>2.8</v>
      </c>
      <c r="AA32">
        <f t="shared" si="5"/>
        <v>2.8</v>
      </c>
      <c r="AB32">
        <f t="shared" si="5"/>
        <v>2.8</v>
      </c>
      <c r="AC32">
        <f t="shared" si="6"/>
        <v>2.8</v>
      </c>
      <c r="AD32">
        <f t="shared" si="6"/>
        <v>2.8</v>
      </c>
      <c r="AH32" s="25">
        <f t="shared" si="7"/>
        <v>8.75</v>
      </c>
      <c r="AI32" s="14">
        <f t="shared" si="8"/>
        <v>3.6</v>
      </c>
      <c r="AL32" s="25">
        <f t="shared" si="9"/>
        <v>9.75</v>
      </c>
      <c r="AM32" s="14">
        <f t="shared" si="10"/>
        <v>3.6</v>
      </c>
      <c r="AP32" s="25">
        <v>11</v>
      </c>
      <c r="AQ32" s="14">
        <f t="shared" si="11"/>
        <v>2.25</v>
      </c>
      <c r="AT32" s="57">
        <v>3.5</v>
      </c>
      <c r="AU32" s="64">
        <f t="shared" si="21"/>
        <v>3.3</v>
      </c>
      <c r="AV32" s="64">
        <f t="shared" si="12"/>
        <v>3.3</v>
      </c>
      <c r="AW32" s="64">
        <f t="shared" si="13"/>
        <v>3.3</v>
      </c>
      <c r="AX32" s="64">
        <f t="shared" si="14"/>
        <v>3.3</v>
      </c>
      <c r="BF32">
        <v>9.75</v>
      </c>
      <c r="BH32">
        <v>107.94329999999997</v>
      </c>
      <c r="BI32">
        <f t="shared" si="0"/>
        <v>3.95</v>
      </c>
      <c r="CU32" s="896"/>
      <c r="CV32" s="64"/>
      <c r="CW32" s="64"/>
    </row>
    <row r="33" spans="1:101">
      <c r="A33" s="855">
        <v>9.25</v>
      </c>
      <c r="C33" s="1232">
        <f t="shared" si="16"/>
        <v>1.6807499999999922</v>
      </c>
      <c r="D33" s="1232">
        <f t="shared" si="1"/>
        <v>1.6807499999999922</v>
      </c>
      <c r="F33" s="1232">
        <f t="shared" si="2"/>
        <v>1.6807499999999922</v>
      </c>
      <c r="G33" s="1248">
        <v>-0.12150000000005129</v>
      </c>
      <c r="H33" s="1268">
        <v>0.55225000000004343</v>
      </c>
      <c r="I33" s="1232"/>
      <c r="J33" s="1245">
        <v>9.25</v>
      </c>
      <c r="K33" s="1245"/>
      <c r="L33" s="1232">
        <f t="shared" si="17"/>
        <v>3.8</v>
      </c>
      <c r="M33" s="1232">
        <f t="shared" si="3"/>
        <v>3.8</v>
      </c>
      <c r="N33" s="1232"/>
      <c r="O33" s="1232">
        <f t="shared" si="4"/>
        <v>3.8</v>
      </c>
      <c r="P33" s="1248">
        <v>3</v>
      </c>
      <c r="Q33" s="1249">
        <v>0</v>
      </c>
      <c r="Y33" s="855">
        <f t="shared" si="20"/>
        <v>11.125</v>
      </c>
      <c r="Z33">
        <f t="shared" si="5"/>
        <v>2.8</v>
      </c>
      <c r="AA33">
        <f t="shared" si="5"/>
        <v>2.8</v>
      </c>
      <c r="AB33">
        <f t="shared" si="5"/>
        <v>2.8</v>
      </c>
      <c r="AC33">
        <f t="shared" si="6"/>
        <v>2.8</v>
      </c>
      <c r="AD33">
        <f t="shared" si="6"/>
        <v>2.8</v>
      </c>
      <c r="AH33" s="25">
        <f t="shared" si="7"/>
        <v>8.625</v>
      </c>
      <c r="AI33" s="14">
        <f t="shared" si="8"/>
        <v>3.6</v>
      </c>
      <c r="AL33" s="25">
        <f t="shared" si="9"/>
        <v>9.625</v>
      </c>
      <c r="AM33" s="14">
        <f t="shared" si="10"/>
        <v>3.6</v>
      </c>
      <c r="AP33" s="25">
        <v>11.125</v>
      </c>
      <c r="AQ33" s="14">
        <f t="shared" si="11"/>
        <v>2.25</v>
      </c>
      <c r="AT33" s="57">
        <v>3.625</v>
      </c>
      <c r="AU33" s="64">
        <f t="shared" si="21"/>
        <v>3.3</v>
      </c>
      <c r="AV33" s="64">
        <f t="shared" si="12"/>
        <v>3.3</v>
      </c>
      <c r="AW33" s="64">
        <f t="shared" si="13"/>
        <v>3.3</v>
      </c>
      <c r="AX33" s="64">
        <f t="shared" si="14"/>
        <v>3.3</v>
      </c>
      <c r="BF33">
        <v>9.875</v>
      </c>
      <c r="BH33">
        <v>108.04329999999996</v>
      </c>
      <c r="BI33">
        <f t="shared" si="0"/>
        <v>3.95</v>
      </c>
      <c r="CU33" s="896"/>
      <c r="CV33" s="64"/>
      <c r="CW33" s="64"/>
    </row>
    <row r="34" spans="1:101">
      <c r="A34" s="64"/>
      <c r="J34" s="855"/>
      <c r="K34" s="855"/>
      <c r="L34" s="64"/>
      <c r="M34" s="855"/>
      <c r="AH34" s="25">
        <f>AH33-0.125</f>
        <v>8.5</v>
      </c>
      <c r="AI34" s="14">
        <f>AI33</f>
        <v>3.6</v>
      </c>
      <c r="AL34" s="25">
        <f>AL33-0.125</f>
        <v>9.5</v>
      </c>
      <c r="AM34" s="14">
        <f>AM33</f>
        <v>3.6</v>
      </c>
      <c r="AP34" s="25">
        <v>11.25</v>
      </c>
      <c r="AQ34" s="14">
        <f>AQ33</f>
        <v>2.25</v>
      </c>
      <c r="AT34" s="57">
        <v>3.75</v>
      </c>
      <c r="AU34" s="64">
        <f t="shared" ref="AU34:AX35" si="22">AU33</f>
        <v>3.3</v>
      </c>
      <c r="AV34" s="64">
        <f t="shared" si="22"/>
        <v>3.3</v>
      </c>
      <c r="AW34" s="64">
        <f t="shared" si="22"/>
        <v>3.3</v>
      </c>
      <c r="AX34" s="64">
        <f t="shared" si="22"/>
        <v>3.3</v>
      </c>
      <c r="BF34">
        <v>10</v>
      </c>
      <c r="BH34">
        <v>108.14329999999995</v>
      </c>
      <c r="BI34">
        <f>BI33</f>
        <v>3.95</v>
      </c>
      <c r="CU34" s="896"/>
      <c r="CV34" s="64"/>
      <c r="CW34" s="64"/>
    </row>
    <row r="35" spans="1:101">
      <c r="AH35" s="25">
        <f>AH34-0.125</f>
        <v>8.375</v>
      </c>
      <c r="AI35" s="14">
        <f>AI34</f>
        <v>3.6</v>
      </c>
      <c r="AL35" s="25">
        <f>AL34-0.125</f>
        <v>9.375</v>
      </c>
      <c r="AM35" s="14">
        <f>AM34</f>
        <v>3.6</v>
      </c>
      <c r="AP35" s="25">
        <v>11.375</v>
      </c>
      <c r="AQ35" s="14">
        <f>AQ34</f>
        <v>2.25</v>
      </c>
      <c r="AT35" s="57">
        <v>3.875</v>
      </c>
      <c r="AU35" s="64">
        <f t="shared" si="22"/>
        <v>3.3</v>
      </c>
      <c r="AV35" s="64">
        <f t="shared" si="22"/>
        <v>3.3</v>
      </c>
      <c r="AW35" s="64">
        <f t="shared" si="22"/>
        <v>3.3</v>
      </c>
      <c r="AX35" s="64">
        <f t="shared" si="22"/>
        <v>3.3</v>
      </c>
      <c r="BF35">
        <v>10.125</v>
      </c>
      <c r="BH35">
        <v>108.24329999999995</v>
      </c>
      <c r="BI35">
        <f t="shared" si="0"/>
        <v>3.95</v>
      </c>
      <c r="CU35" s="896"/>
      <c r="CV35" s="64"/>
      <c r="CW35" s="64"/>
    </row>
    <row r="36" spans="1:101">
      <c r="AH36" s="25">
        <f t="shared" si="7"/>
        <v>8.25</v>
      </c>
      <c r="AI36" s="14">
        <f t="shared" si="8"/>
        <v>3.6</v>
      </c>
      <c r="AL36" s="25">
        <f t="shared" si="9"/>
        <v>9.25</v>
      </c>
      <c r="AM36" s="14">
        <f t="shared" si="10"/>
        <v>3.6</v>
      </c>
      <c r="AP36" s="25">
        <v>11.5</v>
      </c>
      <c r="AQ36" s="14">
        <f t="shared" si="11"/>
        <v>2.25</v>
      </c>
      <c r="AT36" s="57">
        <v>4</v>
      </c>
      <c r="AU36" s="64">
        <f t="shared" si="21"/>
        <v>3.3</v>
      </c>
      <c r="AV36" s="64">
        <f t="shared" si="12"/>
        <v>3.3</v>
      </c>
      <c r="AW36" s="64">
        <f t="shared" si="13"/>
        <v>3.3</v>
      </c>
      <c r="AX36" s="64">
        <f t="shared" si="14"/>
        <v>3.3</v>
      </c>
      <c r="BF36">
        <v>10.25</v>
      </c>
      <c r="BH36">
        <v>108.34329999999994</v>
      </c>
      <c r="BI36">
        <f t="shared" si="0"/>
        <v>3.95</v>
      </c>
      <c r="CU36" s="896"/>
      <c r="CV36" s="64"/>
      <c r="CW36" s="64"/>
    </row>
    <row r="37" spans="1:101">
      <c r="AH37" s="25">
        <f t="shared" si="7"/>
        <v>8.125</v>
      </c>
      <c r="AI37" s="14">
        <f t="shared" si="8"/>
        <v>3.6</v>
      </c>
      <c r="AL37" s="25">
        <f t="shared" si="9"/>
        <v>9.125</v>
      </c>
      <c r="AM37" s="14">
        <f t="shared" si="10"/>
        <v>3.6</v>
      </c>
      <c r="AP37" s="25">
        <v>11.625</v>
      </c>
      <c r="AQ37" s="14">
        <f t="shared" si="11"/>
        <v>2.25</v>
      </c>
      <c r="AT37" s="57">
        <v>4.125</v>
      </c>
      <c r="AU37" s="64">
        <f t="shared" si="21"/>
        <v>3.3</v>
      </c>
      <c r="AV37" s="64">
        <f t="shared" si="12"/>
        <v>3.3</v>
      </c>
      <c r="AW37" s="64">
        <f t="shared" si="13"/>
        <v>3.3</v>
      </c>
      <c r="AX37" s="64">
        <f t="shared" si="14"/>
        <v>3.3</v>
      </c>
      <c r="BF37">
        <v>10.375</v>
      </c>
      <c r="BH37">
        <v>108.44329999999994</v>
      </c>
      <c r="BI37">
        <f t="shared" si="0"/>
        <v>3.95</v>
      </c>
      <c r="CU37" s="896"/>
      <c r="CV37" s="64"/>
      <c r="CW37" s="64"/>
    </row>
    <row r="38" spans="1:101">
      <c r="AH38" s="25">
        <f t="shared" si="7"/>
        <v>8</v>
      </c>
      <c r="AI38" s="14">
        <f t="shared" si="8"/>
        <v>3.6</v>
      </c>
      <c r="AL38" s="25">
        <f t="shared" si="9"/>
        <v>9</v>
      </c>
      <c r="AM38" s="14">
        <f t="shared" si="10"/>
        <v>3.6</v>
      </c>
      <c r="AP38" s="25">
        <v>11.75</v>
      </c>
      <c r="AQ38" s="14">
        <f t="shared" si="11"/>
        <v>2.25</v>
      </c>
      <c r="AT38" s="57">
        <v>4.25</v>
      </c>
      <c r="AU38" s="64">
        <f t="shared" si="21"/>
        <v>3.3</v>
      </c>
      <c r="AV38" s="64">
        <f t="shared" si="12"/>
        <v>3.3</v>
      </c>
      <c r="AW38" s="64">
        <f t="shared" si="13"/>
        <v>3.3</v>
      </c>
      <c r="AX38" s="64">
        <f t="shared" si="14"/>
        <v>3.3</v>
      </c>
      <c r="CU38" s="896"/>
      <c r="CV38" s="64"/>
      <c r="CW38" s="64"/>
    </row>
    <row r="39" spans="1:101">
      <c r="AH39" s="25">
        <f t="shared" si="7"/>
        <v>7.875</v>
      </c>
      <c r="AI39" s="14">
        <f t="shared" si="8"/>
        <v>3.6</v>
      </c>
      <c r="AL39" s="25">
        <f t="shared" si="9"/>
        <v>8.875</v>
      </c>
      <c r="AM39" s="14">
        <f t="shared" si="10"/>
        <v>3.6</v>
      </c>
      <c r="AP39" s="25">
        <v>11.875</v>
      </c>
      <c r="AQ39" s="14">
        <f t="shared" si="11"/>
        <v>2.25</v>
      </c>
      <c r="AT39" s="57">
        <v>4.375</v>
      </c>
      <c r="AU39" s="64">
        <f t="shared" si="21"/>
        <v>3.3</v>
      </c>
      <c r="AV39" s="64">
        <f t="shared" si="12"/>
        <v>3.3</v>
      </c>
      <c r="AW39" s="64">
        <f t="shared" si="13"/>
        <v>3.3</v>
      </c>
      <c r="AX39" s="64">
        <f t="shared" si="14"/>
        <v>3.3</v>
      </c>
      <c r="CU39" s="896"/>
      <c r="CV39" s="64"/>
      <c r="CW39" s="64"/>
    </row>
    <row r="40" spans="1:101">
      <c r="AH40" s="25">
        <f t="shared" si="7"/>
        <v>7.75</v>
      </c>
      <c r="AI40" s="14">
        <f t="shared" si="8"/>
        <v>3.6</v>
      </c>
      <c r="AL40" s="25">
        <f t="shared" si="9"/>
        <v>8.75</v>
      </c>
      <c r="AM40" s="14">
        <f t="shared" si="10"/>
        <v>3.6</v>
      </c>
      <c r="AP40" s="25">
        <v>12</v>
      </c>
      <c r="AQ40" s="14">
        <f t="shared" si="11"/>
        <v>2.25</v>
      </c>
      <c r="AT40" s="57">
        <v>4.5</v>
      </c>
      <c r="AU40" s="64">
        <f t="shared" si="21"/>
        <v>3.3</v>
      </c>
      <c r="AV40" s="64">
        <f t="shared" si="12"/>
        <v>3.3</v>
      </c>
      <c r="AW40" s="64">
        <f t="shared" si="13"/>
        <v>3.3</v>
      </c>
      <c r="AX40" s="64">
        <f t="shared" si="14"/>
        <v>3.3</v>
      </c>
      <c r="CU40" s="896"/>
      <c r="CV40" s="64"/>
      <c r="CW40" s="64"/>
    </row>
    <row r="41" spans="1:101">
      <c r="AH41" s="25">
        <f t="shared" si="7"/>
        <v>7.625</v>
      </c>
      <c r="AI41" s="14">
        <f t="shared" si="8"/>
        <v>3.6</v>
      </c>
      <c r="AL41" s="25">
        <f t="shared" si="9"/>
        <v>8.625</v>
      </c>
      <c r="AM41" s="14">
        <f t="shared" si="10"/>
        <v>3.6</v>
      </c>
      <c r="AP41" s="25">
        <v>12.125</v>
      </c>
      <c r="AQ41" s="14">
        <f t="shared" si="11"/>
        <v>2.25</v>
      </c>
      <c r="AT41" s="57">
        <v>4.625</v>
      </c>
      <c r="AU41" s="64">
        <f t="shared" si="21"/>
        <v>3.3</v>
      </c>
      <c r="AV41" s="64">
        <f t="shared" si="12"/>
        <v>3.3</v>
      </c>
      <c r="AW41" s="64">
        <f t="shared" si="13"/>
        <v>3.3</v>
      </c>
      <c r="AX41" s="64">
        <f t="shared" si="14"/>
        <v>3.3</v>
      </c>
      <c r="CU41" s="896"/>
      <c r="CV41" s="64"/>
      <c r="CW41" s="64"/>
    </row>
    <row r="42" spans="1:101">
      <c r="AH42" s="25">
        <f t="shared" si="7"/>
        <v>7.5</v>
      </c>
      <c r="AI42" s="14">
        <f t="shared" si="8"/>
        <v>3.6</v>
      </c>
      <c r="AL42" s="25">
        <f t="shared" si="9"/>
        <v>8.5</v>
      </c>
      <c r="AM42" s="14">
        <f t="shared" si="10"/>
        <v>3.6</v>
      </c>
      <c r="AP42" s="25">
        <v>12.25</v>
      </c>
      <c r="AQ42" s="14">
        <f t="shared" si="11"/>
        <v>2.25</v>
      </c>
      <c r="AT42" s="57">
        <v>4.75</v>
      </c>
      <c r="AU42" s="64">
        <f t="shared" si="21"/>
        <v>3.3</v>
      </c>
      <c r="AV42" s="64">
        <f t="shared" si="12"/>
        <v>3.3</v>
      </c>
      <c r="AW42" s="64">
        <f t="shared" si="13"/>
        <v>3.3</v>
      </c>
      <c r="AX42" s="64">
        <f t="shared" si="14"/>
        <v>3.3</v>
      </c>
    </row>
    <row r="43" spans="1:101">
      <c r="AH43" s="25">
        <f t="shared" si="7"/>
        <v>7.375</v>
      </c>
      <c r="AI43" s="14">
        <f t="shared" si="8"/>
        <v>3.6</v>
      </c>
      <c r="AL43" s="25"/>
      <c r="AM43" s="14"/>
      <c r="AP43" s="25">
        <v>12.375</v>
      </c>
      <c r="AQ43" s="14">
        <f t="shared" si="11"/>
        <v>2.25</v>
      </c>
      <c r="AT43" s="57">
        <v>4.875</v>
      </c>
      <c r="AU43" s="64">
        <f t="shared" si="21"/>
        <v>3.3</v>
      </c>
      <c r="AV43" s="64">
        <f t="shared" si="12"/>
        <v>3.3</v>
      </c>
      <c r="AW43" s="64">
        <f t="shared" si="13"/>
        <v>3.3</v>
      </c>
      <c r="AX43" s="64">
        <f t="shared" si="14"/>
        <v>3.3</v>
      </c>
    </row>
    <row r="44" spans="1:101">
      <c r="AP44" s="25">
        <v>12.5</v>
      </c>
      <c r="AQ44" s="14">
        <f t="shared" si="11"/>
        <v>2.25</v>
      </c>
      <c r="AT44" s="57">
        <v>5</v>
      </c>
      <c r="AU44" s="64">
        <f t="shared" si="21"/>
        <v>3.3</v>
      </c>
      <c r="AV44" s="64">
        <f t="shared" si="12"/>
        <v>3.3</v>
      </c>
      <c r="AW44" s="64">
        <f t="shared" si="13"/>
        <v>3.3</v>
      </c>
      <c r="AX44" s="64">
        <f t="shared" si="14"/>
        <v>3.3</v>
      </c>
    </row>
    <row r="45" spans="1:101">
      <c r="AP45" s="25">
        <v>12.625</v>
      </c>
      <c r="AQ45" s="14">
        <f t="shared" si="11"/>
        <v>2.25</v>
      </c>
      <c r="AT45" s="57">
        <v>5.125</v>
      </c>
      <c r="AU45" s="64">
        <f t="shared" si="21"/>
        <v>3.3</v>
      </c>
      <c r="AV45" s="64">
        <f t="shared" si="12"/>
        <v>3.3</v>
      </c>
      <c r="AW45" s="64">
        <f t="shared" si="13"/>
        <v>3.3</v>
      </c>
      <c r="AX45" s="64">
        <f t="shared" si="14"/>
        <v>3.3</v>
      </c>
    </row>
    <row r="46" spans="1:101">
      <c r="AP46" s="25">
        <v>12.75</v>
      </c>
      <c r="AQ46" s="14">
        <f t="shared" si="11"/>
        <v>2.25</v>
      </c>
      <c r="AT46" s="57">
        <v>5.25</v>
      </c>
      <c r="AU46" s="64">
        <f t="shared" si="21"/>
        <v>3.3</v>
      </c>
      <c r="AV46" s="64">
        <f t="shared" si="12"/>
        <v>3.3</v>
      </c>
      <c r="AW46" s="64">
        <f t="shared" si="13"/>
        <v>3.3</v>
      </c>
      <c r="AX46" s="64">
        <f t="shared" si="14"/>
        <v>3.3</v>
      </c>
    </row>
    <row r="47" spans="1:101">
      <c r="AP47" s="25">
        <v>12.875</v>
      </c>
      <c r="AQ47" s="14">
        <f t="shared" si="11"/>
        <v>2.25</v>
      </c>
      <c r="AT47" s="57">
        <v>5.375</v>
      </c>
      <c r="AU47" s="64">
        <f t="shared" si="21"/>
        <v>3.3</v>
      </c>
      <c r="AV47" s="64">
        <f t="shared" si="12"/>
        <v>3.3</v>
      </c>
      <c r="AW47" s="64">
        <f t="shared" si="13"/>
        <v>3.3</v>
      </c>
      <c r="AX47" s="64">
        <f t="shared" si="14"/>
        <v>3.3</v>
      </c>
    </row>
    <row r="48" spans="1:101">
      <c r="AP48" s="25">
        <v>13</v>
      </c>
      <c r="AQ48" s="14">
        <f t="shared" si="11"/>
        <v>2.25</v>
      </c>
      <c r="AT48" s="57">
        <v>5.5</v>
      </c>
      <c r="AU48" s="64">
        <f t="shared" si="21"/>
        <v>3.3</v>
      </c>
      <c r="AV48" s="64">
        <f t="shared" si="12"/>
        <v>3.3</v>
      </c>
      <c r="AW48" s="64">
        <f t="shared" si="13"/>
        <v>3.3</v>
      </c>
      <c r="AX48" s="64">
        <f t="shared" si="14"/>
        <v>3.3</v>
      </c>
    </row>
    <row r="49" spans="1:52">
      <c r="AP49" s="25">
        <v>13.125</v>
      </c>
      <c r="AQ49" s="14">
        <f t="shared" si="11"/>
        <v>2.25</v>
      </c>
      <c r="AT49" s="57">
        <v>5.625</v>
      </c>
      <c r="AU49" s="64">
        <f t="shared" si="21"/>
        <v>3.3</v>
      </c>
      <c r="AV49" s="64">
        <f t="shared" si="12"/>
        <v>3.3</v>
      </c>
      <c r="AW49" s="64">
        <f t="shared" si="13"/>
        <v>3.3</v>
      </c>
      <c r="AX49" s="64">
        <f t="shared" si="14"/>
        <v>3.3</v>
      </c>
    </row>
    <row r="50" spans="1:52">
      <c r="AT50" s="57">
        <v>5.75</v>
      </c>
      <c r="AU50" s="64">
        <f t="shared" si="21"/>
        <v>3.3</v>
      </c>
      <c r="AV50" s="64">
        <f t="shared" si="12"/>
        <v>3.3</v>
      </c>
      <c r="AW50" s="64">
        <f t="shared" si="13"/>
        <v>3.3</v>
      </c>
      <c r="AX50" s="64">
        <f t="shared" si="14"/>
        <v>3.3</v>
      </c>
    </row>
    <row r="51" spans="1:52">
      <c r="AT51" s="57"/>
      <c r="AU51" s="64"/>
      <c r="AV51" s="64"/>
      <c r="AW51" s="64"/>
      <c r="AX51" s="64"/>
    </row>
    <row r="52" spans="1:52" ht="15.75" thickBot="1"/>
    <row r="53" spans="1:52" ht="15.75" thickBot="1">
      <c r="A53" s="64"/>
      <c r="AM53" t="s">
        <v>366</v>
      </c>
      <c r="AR53" s="831" t="s">
        <v>472</v>
      </c>
      <c r="AS53" s="832"/>
      <c r="AT53" s="861" t="s">
        <v>473</v>
      </c>
      <c r="AU53" s="861"/>
      <c r="AV53" s="832"/>
      <c r="AW53" s="833"/>
    </row>
    <row r="54" spans="1:52">
      <c r="A54" t="s">
        <v>218</v>
      </c>
      <c r="AA54" t="s">
        <v>366</v>
      </c>
      <c r="AM54" s="829" t="s">
        <v>211</v>
      </c>
      <c r="AN54" s="829" t="s">
        <v>13</v>
      </c>
      <c r="AO54" s="830" t="s">
        <v>87</v>
      </c>
      <c r="AP54" s="830" t="s">
        <v>214</v>
      </c>
      <c r="AR54" s="829" t="s">
        <v>211</v>
      </c>
      <c r="AS54" s="829" t="s">
        <v>212</v>
      </c>
      <c r="AT54" s="829" t="s">
        <v>13</v>
      </c>
      <c r="AU54" s="830" t="s">
        <v>87</v>
      </c>
      <c r="AV54" s="830" t="s">
        <v>213</v>
      </c>
      <c r="AW54" s="830" t="s">
        <v>214</v>
      </c>
    </row>
    <row r="55" spans="1:52">
      <c r="A55" s="124" t="s">
        <v>216</v>
      </c>
      <c r="B55" s="125" t="s">
        <v>217</v>
      </c>
      <c r="C55" s="126"/>
      <c r="D55" s="169" t="s">
        <v>117</v>
      </c>
      <c r="E55" s="169" t="s">
        <v>118</v>
      </c>
      <c r="F55" s="169" t="s">
        <v>119</v>
      </c>
      <c r="G55" s="169" t="s">
        <v>120</v>
      </c>
      <c r="H55" s="169" t="s">
        <v>121</v>
      </c>
      <c r="I55" s="169" t="s">
        <v>122</v>
      </c>
      <c r="J55" s="169" t="s">
        <v>123</v>
      </c>
      <c r="K55" s="170" t="s">
        <v>110</v>
      </c>
      <c r="O55" s="191" t="s">
        <v>216</v>
      </c>
      <c r="P55" s="192" t="s">
        <v>217</v>
      </c>
      <c r="Q55" s="193"/>
      <c r="R55" s="169" t="s">
        <v>117</v>
      </c>
      <c r="S55" s="169" t="s">
        <v>118</v>
      </c>
      <c r="T55" s="169" t="s">
        <v>119</v>
      </c>
      <c r="U55" s="169" t="s">
        <v>120</v>
      </c>
      <c r="V55" s="169" t="s">
        <v>121</v>
      </c>
      <c r="W55" s="169" t="s">
        <v>122</v>
      </c>
      <c r="X55" s="169" t="s">
        <v>123</v>
      </c>
      <c r="Y55" s="170" t="s">
        <v>110</v>
      </c>
      <c r="AA55" s="191" t="s">
        <v>216</v>
      </c>
      <c r="AB55" s="192" t="s">
        <v>217</v>
      </c>
      <c r="AC55" s="193"/>
      <c r="AD55" s="169" t="s">
        <v>117</v>
      </c>
      <c r="AE55" s="169" t="s">
        <v>118</v>
      </c>
      <c r="AF55" s="169" t="s">
        <v>119</v>
      </c>
      <c r="AG55" s="169" t="s">
        <v>120</v>
      </c>
      <c r="AH55" s="169" t="s">
        <v>121</v>
      </c>
      <c r="AI55" s="169" t="s">
        <v>122</v>
      </c>
      <c r="AJ55" s="169" t="s">
        <v>123</v>
      </c>
      <c r="AK55" s="170" t="s">
        <v>110</v>
      </c>
      <c r="AM55" s="64">
        <f t="shared" ref="AM55:AM83" si="23">A5</f>
        <v>5.75</v>
      </c>
      <c r="AN55" s="64">
        <v>97.031999999999996</v>
      </c>
      <c r="AO55" s="64">
        <v>96.932000000000002</v>
      </c>
      <c r="AP55" s="64">
        <v>96.932000000000002</v>
      </c>
      <c r="AR55" s="64">
        <f>AM55</f>
        <v>5.75</v>
      </c>
      <c r="AT55" s="64">
        <v>0.26199999999999424</v>
      </c>
      <c r="AU55" s="64">
        <v>0.26199999999999424</v>
      </c>
      <c r="AV55" s="64"/>
      <c r="AW55" s="64">
        <f t="shared" ref="AW55:AW83" si="24">AU55+$AY$54</f>
        <v>0.26199999999999424</v>
      </c>
      <c r="AX55" s="64"/>
      <c r="AY55" s="64"/>
      <c r="AZ55" s="64"/>
    </row>
    <row r="56" spans="1:52">
      <c r="A56" s="127"/>
      <c r="B56" s="128" t="s">
        <v>111</v>
      </c>
      <c r="C56" s="129"/>
      <c r="D56" s="813">
        <v>-2.5</v>
      </c>
      <c r="E56" s="813">
        <v>-2.5</v>
      </c>
      <c r="F56" s="813">
        <v>-2.5</v>
      </c>
      <c r="G56" s="813">
        <v>-2</v>
      </c>
      <c r="H56" s="813">
        <v>-1.5</v>
      </c>
      <c r="I56" s="813">
        <v>-1.5</v>
      </c>
      <c r="J56" s="814">
        <v>-0.125</v>
      </c>
      <c r="K56" s="172">
        <v>0</v>
      </c>
      <c r="O56" s="194"/>
      <c r="P56" s="195" t="s">
        <v>111</v>
      </c>
      <c r="Q56" s="196"/>
      <c r="R56" s="804">
        <v>1.875</v>
      </c>
      <c r="S56" s="805">
        <v>1.625</v>
      </c>
      <c r="T56" s="805">
        <v>1.375</v>
      </c>
      <c r="U56" s="805">
        <v>0.875</v>
      </c>
      <c r="V56" s="805">
        <v>0.25</v>
      </c>
      <c r="W56" s="805">
        <v>-0.24999999999999997</v>
      </c>
      <c r="X56" s="770">
        <v>-2.125</v>
      </c>
      <c r="Y56" s="172">
        <v>-4.5</v>
      </c>
      <c r="AA56" s="194"/>
      <c r="AB56" s="195" t="s">
        <v>111</v>
      </c>
      <c r="AC56" s="196"/>
      <c r="AD56" s="64">
        <f>R56-0.625+0.175</f>
        <v>1.425</v>
      </c>
      <c r="AE56" s="64">
        <f t="shared" ref="AE56:AF61" si="25">S56-0.625+0.175</f>
        <v>1.175</v>
      </c>
      <c r="AF56" s="64">
        <f t="shared" si="25"/>
        <v>0.92500000000000004</v>
      </c>
      <c r="AG56" s="64">
        <f>U56-0.7</f>
        <v>0.17500000000000004</v>
      </c>
      <c r="AH56" s="64">
        <f>V56-0.625-0.325</f>
        <v>-0.7</v>
      </c>
      <c r="AI56" s="64">
        <f>W56-0.625-0.575</f>
        <v>-1.45</v>
      </c>
      <c r="AJ56" s="64">
        <f>X56-0.625-0.575</f>
        <v>-3.3250000000000002</v>
      </c>
      <c r="AK56" s="64">
        <f>Y56-1.975</f>
        <v>-6.4749999999999996</v>
      </c>
      <c r="AM56" s="64">
        <f t="shared" si="23"/>
        <v>5.875</v>
      </c>
      <c r="AN56" s="64">
        <v>98.031999999999996</v>
      </c>
      <c r="AO56" s="64">
        <v>97.932000000000002</v>
      </c>
      <c r="AP56" s="64">
        <v>97.932000000000002</v>
      </c>
      <c r="AR56" s="64">
        <f t="shared" ref="AR56:AR83" si="26">AM56</f>
        <v>5.875</v>
      </c>
      <c r="AT56" s="64">
        <v>0.26199999999999424</v>
      </c>
      <c r="AU56" s="64">
        <v>0.26199999999999424</v>
      </c>
      <c r="AV56" s="64"/>
      <c r="AW56" s="64">
        <f t="shared" si="24"/>
        <v>0.26199999999999424</v>
      </c>
      <c r="AX56" s="64"/>
      <c r="AY56" s="64"/>
      <c r="AZ56" s="64"/>
    </row>
    <row r="57" spans="1:52">
      <c r="A57" s="127"/>
      <c r="B57" s="128" t="s">
        <v>24</v>
      </c>
      <c r="C57" s="129"/>
      <c r="D57" s="813">
        <v>-2.5</v>
      </c>
      <c r="E57" s="813">
        <v>-2.5</v>
      </c>
      <c r="F57" s="813">
        <v>-2.5</v>
      </c>
      <c r="G57" s="813">
        <v>-2</v>
      </c>
      <c r="H57" s="813">
        <v>-1.5</v>
      </c>
      <c r="I57" s="813">
        <v>-1.5</v>
      </c>
      <c r="J57" s="814">
        <v>-0.125</v>
      </c>
      <c r="K57" s="173">
        <v>0</v>
      </c>
      <c r="O57" s="194"/>
      <c r="P57" s="195" t="s">
        <v>24</v>
      </c>
      <c r="Q57" s="196"/>
      <c r="R57" s="804">
        <v>1.75</v>
      </c>
      <c r="S57" s="805">
        <v>1.5</v>
      </c>
      <c r="T57" s="805">
        <v>1.2499999999999998</v>
      </c>
      <c r="U57" s="805">
        <v>0.75</v>
      </c>
      <c r="V57" s="805">
        <v>-1.1102230246251565E-16</v>
      </c>
      <c r="W57" s="805">
        <v>-0.50000000000000011</v>
      </c>
      <c r="X57" s="770">
        <v>-2.375</v>
      </c>
      <c r="Y57" s="173">
        <v>-4.75</v>
      </c>
      <c r="AA57" s="194"/>
      <c r="AB57" s="195" t="s">
        <v>24</v>
      </c>
      <c r="AC57" s="196"/>
      <c r="AD57" s="64">
        <f t="shared" ref="AD57:AD61" si="27">R57-0.625+0.175</f>
        <v>1.3</v>
      </c>
      <c r="AE57" s="64">
        <f t="shared" si="25"/>
        <v>1.05</v>
      </c>
      <c r="AF57" s="64">
        <f t="shared" si="25"/>
        <v>0.79999999999999982</v>
      </c>
      <c r="AG57" s="64">
        <f t="shared" ref="AG57:AG61" si="28">U57-0.7</f>
        <v>5.0000000000000044E-2</v>
      </c>
      <c r="AH57" s="64">
        <f t="shared" ref="AH57:AH61" si="29">V57-0.625-0.325</f>
        <v>-0.95000000000000018</v>
      </c>
      <c r="AI57" s="64">
        <f t="shared" ref="AI57:AJ61" si="30">W57-0.625-0.575</f>
        <v>-1.7</v>
      </c>
      <c r="AJ57" s="64">
        <f t="shared" si="30"/>
        <v>-3.5750000000000002</v>
      </c>
      <c r="AK57" s="64">
        <f>Y57-1.975</f>
        <v>-6.7249999999999996</v>
      </c>
      <c r="AM57" s="64">
        <f t="shared" si="23"/>
        <v>6</v>
      </c>
      <c r="AN57" s="64">
        <v>99.031999999999996</v>
      </c>
      <c r="AO57" s="64">
        <v>98.932000000000002</v>
      </c>
      <c r="AP57" s="64">
        <v>98.932000000000002</v>
      </c>
      <c r="AR57" s="64">
        <f t="shared" si="26"/>
        <v>6</v>
      </c>
      <c r="AT57" s="64">
        <v>0.38699999999999402</v>
      </c>
      <c r="AU57" s="64">
        <v>0.38699999999999402</v>
      </c>
      <c r="AV57" s="64"/>
      <c r="AW57" s="64">
        <f t="shared" si="24"/>
        <v>0.38699999999999402</v>
      </c>
      <c r="AX57" s="64"/>
      <c r="AY57" s="64"/>
      <c r="AZ57" s="64"/>
    </row>
    <row r="58" spans="1:52">
      <c r="A58" s="127"/>
      <c r="B58" s="128" t="s">
        <v>25</v>
      </c>
      <c r="C58" s="129"/>
      <c r="D58" s="813">
        <v>-2.5</v>
      </c>
      <c r="E58" s="813">
        <v>-2.5</v>
      </c>
      <c r="F58" s="813">
        <v>-2.5</v>
      </c>
      <c r="G58" s="813">
        <v>-2</v>
      </c>
      <c r="H58" s="813">
        <v>-1.5</v>
      </c>
      <c r="I58" s="813">
        <v>-1.5</v>
      </c>
      <c r="J58" s="814">
        <v>-0.125</v>
      </c>
      <c r="K58" s="173">
        <v>0</v>
      </c>
      <c r="O58" s="194"/>
      <c r="P58" s="195" t="s">
        <v>25</v>
      </c>
      <c r="Q58" s="196"/>
      <c r="R58" s="804">
        <v>1.5</v>
      </c>
      <c r="S58" s="805">
        <v>1.25</v>
      </c>
      <c r="T58" s="805">
        <v>0.99999999999999978</v>
      </c>
      <c r="U58" s="805">
        <v>0.5</v>
      </c>
      <c r="V58" s="805">
        <v>-0.25</v>
      </c>
      <c r="W58" s="805">
        <v>-0.75</v>
      </c>
      <c r="X58" s="770">
        <v>-3.25</v>
      </c>
      <c r="Y58" s="173"/>
      <c r="AA58" s="194"/>
      <c r="AB58" s="195" t="s">
        <v>25</v>
      </c>
      <c r="AC58" s="196"/>
      <c r="AD58" s="64">
        <f t="shared" si="27"/>
        <v>1.05</v>
      </c>
      <c r="AE58" s="64">
        <f t="shared" si="25"/>
        <v>0.8</v>
      </c>
      <c r="AF58" s="64">
        <f t="shared" si="25"/>
        <v>0.54999999999999982</v>
      </c>
      <c r="AG58" s="64">
        <f t="shared" si="28"/>
        <v>-0.19999999999999996</v>
      </c>
      <c r="AH58" s="64">
        <f t="shared" si="29"/>
        <v>-1.2</v>
      </c>
      <c r="AI58" s="64">
        <f t="shared" si="30"/>
        <v>-1.95</v>
      </c>
      <c r="AJ58" s="64">
        <f t="shared" si="30"/>
        <v>-4.45</v>
      </c>
      <c r="AK58" s="64" t="s">
        <v>14</v>
      </c>
      <c r="AM58" s="64">
        <f t="shared" si="23"/>
        <v>6.125</v>
      </c>
      <c r="AN58" s="64">
        <v>99.75</v>
      </c>
      <c r="AO58" s="64">
        <v>99.65</v>
      </c>
      <c r="AP58" s="64">
        <v>99.65</v>
      </c>
      <c r="AR58" s="64">
        <f t="shared" si="26"/>
        <v>6.125</v>
      </c>
      <c r="AT58" s="64">
        <v>0.38699999999999402</v>
      </c>
      <c r="AU58" s="64">
        <v>0.38699999999999402</v>
      </c>
      <c r="AV58" s="64"/>
      <c r="AW58" s="64">
        <f t="shared" si="24"/>
        <v>0.38699999999999402</v>
      </c>
      <c r="AX58" s="64"/>
      <c r="AY58" s="64"/>
      <c r="AZ58" s="64"/>
    </row>
    <row r="59" spans="1:52">
      <c r="A59" s="127" t="s">
        <v>109</v>
      </c>
      <c r="B59" s="128" t="s">
        <v>26</v>
      </c>
      <c r="C59" s="129"/>
      <c r="D59" s="813">
        <v>-2.5</v>
      </c>
      <c r="E59" s="813">
        <v>-2.5</v>
      </c>
      <c r="F59" s="813">
        <v>-2</v>
      </c>
      <c r="G59" s="813">
        <v>-2</v>
      </c>
      <c r="H59" s="813">
        <v>-1.5</v>
      </c>
      <c r="I59" s="813">
        <v>-1.5</v>
      </c>
      <c r="J59" s="814">
        <v>-0.125</v>
      </c>
      <c r="K59" s="173">
        <v>0</v>
      </c>
      <c r="O59" s="194" t="s">
        <v>109</v>
      </c>
      <c r="P59" s="195" t="s">
        <v>26</v>
      </c>
      <c r="Q59" s="196"/>
      <c r="R59" s="804">
        <v>1.125</v>
      </c>
      <c r="S59" s="805">
        <v>0.875</v>
      </c>
      <c r="T59" s="805">
        <v>0.37499999999999978</v>
      </c>
      <c r="U59" s="805">
        <v>-0.125</v>
      </c>
      <c r="V59" s="805">
        <v>-1</v>
      </c>
      <c r="W59" s="805">
        <v>-1.375</v>
      </c>
      <c r="X59" s="770">
        <v>-4</v>
      </c>
      <c r="Y59" s="173"/>
      <c r="AA59" s="194" t="s">
        <v>109</v>
      </c>
      <c r="AB59" s="195" t="s">
        <v>26</v>
      </c>
      <c r="AC59" s="196"/>
      <c r="AD59" s="64">
        <f t="shared" si="27"/>
        <v>0.67500000000000004</v>
      </c>
      <c r="AE59" s="64">
        <f t="shared" si="25"/>
        <v>0.42499999999999999</v>
      </c>
      <c r="AF59" s="64">
        <f t="shared" si="25"/>
        <v>-7.5000000000000233E-2</v>
      </c>
      <c r="AG59" s="64">
        <f t="shared" si="28"/>
        <v>-0.82499999999999996</v>
      </c>
      <c r="AH59" s="64">
        <f t="shared" si="29"/>
        <v>-1.95</v>
      </c>
      <c r="AI59" s="64">
        <f t="shared" si="30"/>
        <v>-2.5750000000000002</v>
      </c>
      <c r="AJ59" s="64">
        <f t="shared" si="30"/>
        <v>-5.2</v>
      </c>
      <c r="AK59" s="64" t="s">
        <v>14</v>
      </c>
      <c r="AM59" s="64">
        <f t="shared" si="23"/>
        <v>6.25</v>
      </c>
      <c r="AN59" s="64">
        <v>100.58699999999999</v>
      </c>
      <c r="AO59" s="64">
        <v>100.48699999999999</v>
      </c>
      <c r="AP59" s="64">
        <v>100.48699999999999</v>
      </c>
      <c r="AR59" s="64">
        <f t="shared" si="26"/>
        <v>6.25</v>
      </c>
      <c r="AT59" s="64">
        <v>0.53699999999999415</v>
      </c>
      <c r="AU59" s="64">
        <v>0.53699999999999415</v>
      </c>
      <c r="AV59" s="64"/>
      <c r="AW59" s="64">
        <f t="shared" si="24"/>
        <v>0.53699999999999415</v>
      </c>
      <c r="AX59" s="64"/>
      <c r="AY59" s="64"/>
      <c r="AZ59" s="64"/>
    </row>
    <row r="60" spans="1:52">
      <c r="A60" s="127"/>
      <c r="B60" s="128" t="s">
        <v>27</v>
      </c>
      <c r="C60" s="129"/>
      <c r="D60" s="813">
        <v>-2.5</v>
      </c>
      <c r="E60" s="813">
        <v>-2.5</v>
      </c>
      <c r="F60" s="813">
        <v>-2</v>
      </c>
      <c r="G60" s="813">
        <v>-2</v>
      </c>
      <c r="H60" s="813">
        <v>-1</v>
      </c>
      <c r="I60" s="813">
        <v>-0.25</v>
      </c>
      <c r="J60" s="814">
        <v>-0.125</v>
      </c>
      <c r="K60" s="173">
        <v>0</v>
      </c>
      <c r="O60" s="194"/>
      <c r="P60" s="195" t="s">
        <v>27</v>
      </c>
      <c r="Q60" s="196"/>
      <c r="R60" s="804">
        <v>0.49999999999999989</v>
      </c>
      <c r="S60" s="805">
        <v>0.12499999999999989</v>
      </c>
      <c r="T60" s="805">
        <v>-0.12500000000000011</v>
      </c>
      <c r="U60" s="805">
        <v>-0.625</v>
      </c>
      <c r="V60" s="805">
        <v>-2</v>
      </c>
      <c r="W60" s="805">
        <v>-3.25</v>
      </c>
      <c r="X60" s="770">
        <v>-4.25</v>
      </c>
      <c r="Y60" s="173"/>
      <c r="AA60" s="194"/>
      <c r="AB60" s="195" t="s">
        <v>27</v>
      </c>
      <c r="AC60" s="196"/>
      <c r="AD60" s="64">
        <f t="shared" si="27"/>
        <v>4.9999999999999878E-2</v>
      </c>
      <c r="AE60" s="64">
        <f t="shared" si="25"/>
        <v>-0.32500000000000012</v>
      </c>
      <c r="AF60" s="64">
        <f t="shared" si="25"/>
        <v>-0.57500000000000018</v>
      </c>
      <c r="AG60" s="64">
        <f t="shared" si="28"/>
        <v>-1.325</v>
      </c>
      <c r="AH60" s="64">
        <f t="shared" si="29"/>
        <v>-2.95</v>
      </c>
      <c r="AI60" s="64">
        <f t="shared" si="30"/>
        <v>-4.45</v>
      </c>
      <c r="AJ60" s="64" t="s">
        <v>14</v>
      </c>
      <c r="AK60" s="64" t="s">
        <v>14</v>
      </c>
      <c r="AM60" s="64">
        <f t="shared" si="23"/>
        <v>6.375</v>
      </c>
      <c r="AN60" s="64">
        <v>101.46199999999999</v>
      </c>
      <c r="AO60" s="64">
        <v>101.36199999999999</v>
      </c>
      <c r="AP60" s="64">
        <v>101.36199999999999</v>
      </c>
      <c r="AR60" s="64">
        <f t="shared" si="26"/>
        <v>6.375</v>
      </c>
      <c r="AT60" s="64">
        <v>0.72399999999999187</v>
      </c>
      <c r="AU60" s="64">
        <v>0.72399999999999187</v>
      </c>
      <c r="AV60" s="64"/>
      <c r="AW60" s="64">
        <f t="shared" si="24"/>
        <v>0.72399999999999187</v>
      </c>
      <c r="AX60" s="64"/>
      <c r="AY60" s="64"/>
      <c r="AZ60" s="64"/>
    </row>
    <row r="61" spans="1:52">
      <c r="A61" s="127"/>
      <c r="B61" s="128" t="s">
        <v>28</v>
      </c>
      <c r="C61" s="129"/>
      <c r="D61" s="813">
        <v>-2.5</v>
      </c>
      <c r="E61" s="813">
        <v>-2.5</v>
      </c>
      <c r="F61" s="813">
        <v>-2</v>
      </c>
      <c r="G61" s="813">
        <v>-2</v>
      </c>
      <c r="H61" s="813">
        <v>-1</v>
      </c>
      <c r="I61" s="813">
        <v>-0.25</v>
      </c>
      <c r="J61" s="814">
        <v>-0.125</v>
      </c>
      <c r="K61" s="173">
        <v>0</v>
      </c>
      <c r="O61" s="194"/>
      <c r="P61" s="195" t="s">
        <v>28</v>
      </c>
      <c r="Q61" s="196"/>
      <c r="R61" s="804">
        <v>0.24999999999999992</v>
      </c>
      <c r="S61" s="805">
        <v>-0.12500000000000011</v>
      </c>
      <c r="T61" s="805">
        <v>-0.62500000000000011</v>
      </c>
      <c r="U61" s="805">
        <v>-1.125</v>
      </c>
      <c r="V61" s="805">
        <v>-2.5</v>
      </c>
      <c r="W61" s="805">
        <v>-5</v>
      </c>
      <c r="X61" s="770">
        <v>-6.25</v>
      </c>
      <c r="Y61" s="173"/>
      <c r="AA61" s="194"/>
      <c r="AB61" s="195" t="s">
        <v>28</v>
      </c>
      <c r="AC61" s="196"/>
      <c r="AD61" s="64">
        <f t="shared" si="27"/>
        <v>-0.20000000000000012</v>
      </c>
      <c r="AE61" s="64">
        <f t="shared" si="25"/>
        <v>-0.57500000000000018</v>
      </c>
      <c r="AF61" s="64">
        <f t="shared" si="25"/>
        <v>-1.075</v>
      </c>
      <c r="AG61" s="64">
        <f t="shared" si="28"/>
        <v>-1.825</v>
      </c>
      <c r="AH61" s="64">
        <f t="shared" si="29"/>
        <v>-3.45</v>
      </c>
      <c r="AI61" s="64">
        <f t="shared" si="30"/>
        <v>-6.2</v>
      </c>
      <c r="AJ61" s="64" t="s">
        <v>14</v>
      </c>
      <c r="AK61" s="64" t="s">
        <v>14</v>
      </c>
      <c r="AM61" s="64">
        <f t="shared" si="23"/>
        <v>6.5</v>
      </c>
      <c r="AN61" s="64">
        <v>102.14999999999999</v>
      </c>
      <c r="AO61" s="64">
        <v>102.05</v>
      </c>
      <c r="AP61" s="64">
        <v>102.05</v>
      </c>
      <c r="AR61" s="64">
        <f t="shared" si="26"/>
        <v>6.5</v>
      </c>
      <c r="AT61" s="64">
        <v>0.72499999999999665</v>
      </c>
      <c r="AU61" s="64">
        <v>0.72499999999999665</v>
      </c>
      <c r="AV61" s="64"/>
      <c r="AW61" s="64">
        <f t="shared" si="24"/>
        <v>0.72499999999999665</v>
      </c>
      <c r="AX61" s="64"/>
      <c r="AY61" s="64"/>
      <c r="AZ61" s="64"/>
    </row>
    <row r="62" spans="1:52">
      <c r="A62" s="130"/>
      <c r="B62" s="128" t="s">
        <v>80</v>
      </c>
      <c r="C62" s="129"/>
      <c r="D62" s="813">
        <v>-1.5</v>
      </c>
      <c r="E62" s="813">
        <v>-1.25</v>
      </c>
      <c r="F62" s="813">
        <v>-0.75</v>
      </c>
      <c r="G62" s="813">
        <v>-0.75</v>
      </c>
      <c r="H62" s="813">
        <v>-0.75</v>
      </c>
      <c r="I62" s="813">
        <v>-0.75</v>
      </c>
      <c r="J62" s="815" t="s">
        <v>14</v>
      </c>
      <c r="K62" s="173">
        <v>0</v>
      </c>
      <c r="O62" s="198"/>
      <c r="P62" s="195" t="s">
        <v>80</v>
      </c>
      <c r="Q62" s="196"/>
      <c r="R62" s="804">
        <v>-2.5</v>
      </c>
      <c r="S62" s="805">
        <v>-3</v>
      </c>
      <c r="T62" s="805">
        <v>-3.5</v>
      </c>
      <c r="U62" s="805">
        <v>-4</v>
      </c>
      <c r="V62" s="805">
        <v>-4.5</v>
      </c>
      <c r="W62" s="805">
        <v>-5.5</v>
      </c>
      <c r="X62" s="770" t="s">
        <v>14</v>
      </c>
      <c r="Y62" s="173"/>
      <c r="AM62" s="64">
        <f t="shared" si="23"/>
        <v>6.625</v>
      </c>
      <c r="AN62" s="64">
        <v>102.77399999999999</v>
      </c>
      <c r="AO62" s="64">
        <v>102.67399999999999</v>
      </c>
      <c r="AP62" s="64">
        <v>102.67399999999999</v>
      </c>
      <c r="AR62" s="64">
        <f t="shared" si="26"/>
        <v>6.625</v>
      </c>
      <c r="AT62" s="64">
        <v>0.72399999999999187</v>
      </c>
      <c r="AU62" s="64">
        <v>0.72399999999999187</v>
      </c>
      <c r="AV62" s="64"/>
      <c r="AW62" s="64">
        <f t="shared" si="24"/>
        <v>0.72399999999999187</v>
      </c>
      <c r="AX62" s="64"/>
      <c r="AY62" s="64"/>
      <c r="AZ62" s="64"/>
    </row>
    <row r="63" spans="1:52">
      <c r="A63" s="127"/>
      <c r="B63" s="128" t="s">
        <v>81</v>
      </c>
      <c r="C63" s="129"/>
      <c r="D63" s="815" t="s">
        <v>14</v>
      </c>
      <c r="E63" s="815" t="s">
        <v>14</v>
      </c>
      <c r="F63" s="815" t="s">
        <v>14</v>
      </c>
      <c r="G63" s="815" t="s">
        <v>14</v>
      </c>
      <c r="H63" s="815" t="s">
        <v>14</v>
      </c>
      <c r="I63" s="815" t="s">
        <v>14</v>
      </c>
      <c r="J63" s="815" t="s">
        <v>14</v>
      </c>
      <c r="K63" s="173">
        <v>0</v>
      </c>
      <c r="O63" s="194"/>
      <c r="P63" s="195" t="s">
        <v>81</v>
      </c>
      <c r="Q63" s="196"/>
      <c r="R63" s="197" t="s">
        <v>14</v>
      </c>
      <c r="S63" s="197" t="s">
        <v>14</v>
      </c>
      <c r="T63" s="197" t="s">
        <v>14</v>
      </c>
      <c r="U63" s="197" t="s">
        <v>14</v>
      </c>
      <c r="V63" s="197" t="s">
        <v>14</v>
      </c>
      <c r="W63" s="197" t="s">
        <v>14</v>
      </c>
      <c r="X63" s="167" t="s">
        <v>14</v>
      </c>
      <c r="Y63" s="173"/>
      <c r="AM63" s="64">
        <f t="shared" si="23"/>
        <v>6.75</v>
      </c>
      <c r="AN63" s="64">
        <v>103.46249999999999</v>
      </c>
      <c r="AO63" s="64">
        <v>103.3625</v>
      </c>
      <c r="AP63" s="64">
        <v>103.3625</v>
      </c>
      <c r="AR63" s="64">
        <f t="shared" si="26"/>
        <v>6.75</v>
      </c>
      <c r="AT63" s="64">
        <v>0.78749999999999676</v>
      </c>
      <c r="AU63" s="64">
        <v>0.78749999999999676</v>
      </c>
      <c r="AV63" s="64"/>
      <c r="AW63" s="64">
        <f t="shared" si="24"/>
        <v>0.78749999999999676</v>
      </c>
      <c r="AX63" s="64"/>
      <c r="AY63" s="64"/>
      <c r="AZ63" s="64"/>
    </row>
    <row r="64" spans="1:52">
      <c r="A64" s="131"/>
      <c r="B64" s="132" t="s">
        <v>82</v>
      </c>
      <c r="C64" s="133"/>
      <c r="D64" s="815" t="s">
        <v>14</v>
      </c>
      <c r="E64" s="815" t="s">
        <v>14</v>
      </c>
      <c r="F64" s="815" t="s">
        <v>14</v>
      </c>
      <c r="G64" s="815" t="s">
        <v>14</v>
      </c>
      <c r="H64" s="815" t="s">
        <v>14</v>
      </c>
      <c r="I64" s="815" t="s">
        <v>14</v>
      </c>
      <c r="J64" s="815" t="s">
        <v>14</v>
      </c>
      <c r="K64" s="175">
        <v>0</v>
      </c>
      <c r="O64" s="199"/>
      <c r="P64" s="200" t="s">
        <v>82</v>
      </c>
      <c r="Q64" s="201"/>
      <c r="R64" s="173">
        <v>-10</v>
      </c>
      <c r="S64" s="173">
        <v>-10</v>
      </c>
      <c r="T64" s="173">
        <v>-10</v>
      </c>
      <c r="U64" s="173">
        <v>-10</v>
      </c>
      <c r="V64" s="173">
        <v>-10</v>
      </c>
      <c r="W64" s="173">
        <v>-10</v>
      </c>
      <c r="X64" s="174" t="s">
        <v>14</v>
      </c>
      <c r="Y64" s="175"/>
      <c r="AM64" s="64">
        <f t="shared" si="23"/>
        <v>6.875</v>
      </c>
      <c r="AN64" s="64">
        <v>104.14949999999999</v>
      </c>
      <c r="AO64" s="64">
        <v>104.04949999999999</v>
      </c>
      <c r="AP64" s="64">
        <v>104.04949999999999</v>
      </c>
      <c r="AR64" s="64">
        <f t="shared" si="26"/>
        <v>6.875</v>
      </c>
      <c r="AT64" s="64">
        <v>0.84949999999999437</v>
      </c>
      <c r="AU64" s="64">
        <v>0.84949999999999437</v>
      </c>
      <c r="AV64" s="64"/>
      <c r="AW64" s="64">
        <f t="shared" si="24"/>
        <v>0.84949999999999437</v>
      </c>
      <c r="AX64" s="64"/>
      <c r="AY64" s="64"/>
      <c r="AZ64" s="64"/>
    </row>
    <row r="65" spans="1:56">
      <c r="A65" s="134"/>
      <c r="B65" s="135"/>
      <c r="C65" s="135"/>
      <c r="D65" s="167"/>
      <c r="E65" s="167"/>
      <c r="F65" s="167"/>
      <c r="G65" s="167"/>
      <c r="H65" s="167"/>
      <c r="I65" s="167"/>
      <c r="J65" s="167"/>
      <c r="K65" s="167"/>
      <c r="O65" s="202"/>
      <c r="P65" s="203"/>
      <c r="Q65" s="203"/>
      <c r="R65" s="167"/>
      <c r="S65" s="167"/>
      <c r="T65" s="167"/>
      <c r="U65" s="167"/>
      <c r="V65" s="167"/>
      <c r="W65" s="167"/>
      <c r="X65" s="167"/>
      <c r="Y65" s="167"/>
      <c r="AM65" s="64">
        <f t="shared" si="23"/>
        <v>7</v>
      </c>
      <c r="AN65" s="64">
        <v>104.77449999999999</v>
      </c>
      <c r="AO65" s="64">
        <v>104.67449999999999</v>
      </c>
      <c r="AP65" s="64">
        <v>104.67449999999999</v>
      </c>
      <c r="AR65" s="64">
        <f t="shared" si="26"/>
        <v>7</v>
      </c>
      <c r="AT65" s="64">
        <v>0.84949999999999437</v>
      </c>
      <c r="AU65" s="64">
        <v>0.84949999999999437</v>
      </c>
      <c r="AV65" s="64"/>
      <c r="AW65" s="64">
        <f t="shared" si="24"/>
        <v>0.84949999999999437</v>
      </c>
      <c r="AX65" s="64"/>
      <c r="AY65" s="64"/>
      <c r="AZ65" s="64"/>
    </row>
    <row r="66" spans="1:56">
      <c r="A66" s="136" t="s">
        <v>216</v>
      </c>
      <c r="B66" s="137"/>
      <c r="C66" s="137"/>
      <c r="D66" s="176" t="s">
        <v>117</v>
      </c>
      <c r="E66" s="176" t="s">
        <v>118</v>
      </c>
      <c r="F66" s="176" t="s">
        <v>119</v>
      </c>
      <c r="G66" s="176" t="s">
        <v>120</v>
      </c>
      <c r="H66" s="176" t="s">
        <v>121</v>
      </c>
      <c r="I66" s="176" t="s">
        <v>122</v>
      </c>
      <c r="J66" s="176" t="s">
        <v>123</v>
      </c>
      <c r="K66" s="170" t="s">
        <v>110</v>
      </c>
      <c r="O66" s="204" t="s">
        <v>216</v>
      </c>
      <c r="P66" s="205"/>
      <c r="Q66" s="205"/>
      <c r="R66" s="176" t="s">
        <v>117</v>
      </c>
      <c r="S66" s="176" t="s">
        <v>118</v>
      </c>
      <c r="T66" s="176" t="s">
        <v>119</v>
      </c>
      <c r="U66" s="176" t="s">
        <v>120</v>
      </c>
      <c r="V66" s="176" t="s">
        <v>121</v>
      </c>
      <c r="W66" s="176" t="s">
        <v>122</v>
      </c>
      <c r="X66" s="176" t="s">
        <v>123</v>
      </c>
      <c r="Y66" s="170"/>
      <c r="AM66" s="64">
        <f t="shared" si="23"/>
        <v>7.125</v>
      </c>
      <c r="AN66" s="64">
        <v>105.39949999999999</v>
      </c>
      <c r="AO66" s="64">
        <v>105.29949999999999</v>
      </c>
      <c r="AP66" s="64">
        <v>105.29949999999999</v>
      </c>
      <c r="AR66" s="64">
        <f t="shared" si="26"/>
        <v>7.125</v>
      </c>
      <c r="AT66" s="64">
        <v>0.84949999999999437</v>
      </c>
      <c r="AU66" s="64">
        <v>0.84949999999999437</v>
      </c>
      <c r="AV66" s="64"/>
      <c r="AW66" s="64">
        <f t="shared" si="24"/>
        <v>0.84949999999999437</v>
      </c>
      <c r="AX66" s="64"/>
      <c r="AY66" s="64"/>
      <c r="AZ66" s="64"/>
    </row>
    <row r="67" spans="1:56">
      <c r="A67" s="138" t="s">
        <v>109</v>
      </c>
      <c r="B67" s="139" t="s">
        <v>112</v>
      </c>
      <c r="C67" s="140"/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1">
        <v>0</v>
      </c>
      <c r="J67" s="171">
        <v>0</v>
      </c>
      <c r="K67" s="172">
        <v>0</v>
      </c>
      <c r="O67" s="206" t="s">
        <v>109</v>
      </c>
      <c r="P67" s="207" t="s">
        <v>112</v>
      </c>
      <c r="Q67" s="208"/>
      <c r="R67" s="209">
        <v>0.625</v>
      </c>
      <c r="S67" s="209">
        <v>0.625</v>
      </c>
      <c r="T67" s="209">
        <v>0.625</v>
      </c>
      <c r="U67" s="209">
        <v>0.625</v>
      </c>
      <c r="V67" s="209">
        <v>0.625</v>
      </c>
      <c r="W67" s="209">
        <v>0.625</v>
      </c>
      <c r="X67" s="209">
        <v>0.75</v>
      </c>
      <c r="Y67" s="172"/>
      <c r="AM67" s="64">
        <f t="shared" si="23"/>
        <v>7.25</v>
      </c>
      <c r="AN67" s="64">
        <v>106.02449999999999</v>
      </c>
      <c r="AO67" s="64">
        <v>105.92449999999999</v>
      </c>
      <c r="AP67" s="64">
        <v>105.92449999999999</v>
      </c>
      <c r="AR67" s="64">
        <f t="shared" si="26"/>
        <v>7.25</v>
      </c>
      <c r="AT67" s="64">
        <v>0.84949999999999437</v>
      </c>
      <c r="AU67" s="64">
        <v>0.84949999999999437</v>
      </c>
      <c r="AV67" s="64"/>
      <c r="AW67" s="64">
        <f t="shared" si="24"/>
        <v>0.84949999999999437</v>
      </c>
      <c r="AX67" s="64"/>
      <c r="AY67" s="64"/>
      <c r="AZ67" s="64"/>
    </row>
    <row r="68" spans="1:56">
      <c r="A68" s="141" t="s">
        <v>41</v>
      </c>
      <c r="B68" s="142" t="s">
        <v>113</v>
      </c>
      <c r="C68" s="143"/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3">
        <v>0</v>
      </c>
      <c r="O68" s="210" t="s">
        <v>41</v>
      </c>
      <c r="P68" s="211" t="s">
        <v>113</v>
      </c>
      <c r="Q68" s="212"/>
      <c r="R68" s="178">
        <v>0</v>
      </c>
      <c r="S68" s="178">
        <v>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3"/>
      <c r="AM68" s="64">
        <f t="shared" si="23"/>
        <v>7.375</v>
      </c>
      <c r="AN68" s="64">
        <v>106.55649999999999</v>
      </c>
      <c r="AO68" s="64">
        <v>106.45649999999999</v>
      </c>
      <c r="AP68" s="64">
        <v>106.45649999999999</v>
      </c>
      <c r="AR68" s="64">
        <f t="shared" si="26"/>
        <v>7.375</v>
      </c>
      <c r="AT68" s="64">
        <v>0.84949999999999437</v>
      </c>
      <c r="AU68" s="64">
        <v>0.84949999999999437</v>
      </c>
      <c r="AV68" s="64"/>
      <c r="AW68" s="64">
        <f t="shared" si="24"/>
        <v>0.84949999999999437</v>
      </c>
      <c r="AX68" s="64"/>
      <c r="AY68" s="64"/>
      <c r="AZ68" s="64"/>
    </row>
    <row r="69" spans="1:56">
      <c r="A69" s="141" t="s">
        <v>42</v>
      </c>
      <c r="B69" s="142" t="s">
        <v>114</v>
      </c>
      <c r="C69" s="143"/>
      <c r="D69" s="178">
        <v>-1</v>
      </c>
      <c r="E69" s="178">
        <v>-1</v>
      </c>
      <c r="F69" s="178">
        <v>-1</v>
      </c>
      <c r="G69" s="178">
        <v>-0.5</v>
      </c>
      <c r="H69" s="178">
        <v>0</v>
      </c>
      <c r="I69" s="167">
        <v>0</v>
      </c>
      <c r="J69" s="178">
        <v>0</v>
      </c>
      <c r="K69" s="173">
        <v>0</v>
      </c>
      <c r="O69" s="210" t="s">
        <v>42</v>
      </c>
      <c r="P69" s="211" t="s">
        <v>114</v>
      </c>
      <c r="Q69" s="212"/>
      <c r="R69" s="178">
        <v>-1</v>
      </c>
      <c r="S69" s="178">
        <v>-1</v>
      </c>
      <c r="T69" s="178">
        <v>-1</v>
      </c>
      <c r="U69" s="213">
        <v>-1.5</v>
      </c>
      <c r="V69" s="213">
        <v>-2</v>
      </c>
      <c r="W69" s="213">
        <v>-3</v>
      </c>
      <c r="X69" s="178" t="s">
        <v>14</v>
      </c>
      <c r="Y69" s="173"/>
      <c r="AM69" s="64">
        <f t="shared" si="23"/>
        <v>7.5</v>
      </c>
      <c r="AN69" s="64">
        <v>106.9935</v>
      </c>
      <c r="AO69" s="64">
        <v>106.89349999999999</v>
      </c>
      <c r="AP69" s="64">
        <v>106.89349999999999</v>
      </c>
      <c r="AR69" s="64">
        <f t="shared" si="26"/>
        <v>7.5</v>
      </c>
      <c r="AT69" s="64">
        <v>0.84949999999999437</v>
      </c>
      <c r="AU69" s="64">
        <v>0.84949999999999437</v>
      </c>
      <c r="AV69" s="64"/>
      <c r="AW69" s="64">
        <f t="shared" si="24"/>
        <v>0.84949999999999437</v>
      </c>
      <c r="AX69" s="64"/>
      <c r="AY69" s="64"/>
      <c r="AZ69" s="64"/>
    </row>
    <row r="70" spans="1:56">
      <c r="A70" s="131"/>
      <c r="B70" s="144" t="s">
        <v>115</v>
      </c>
      <c r="C70" s="145"/>
      <c r="D70" s="174">
        <v>-1</v>
      </c>
      <c r="E70" s="174">
        <v>-1</v>
      </c>
      <c r="F70" s="174">
        <v>-1</v>
      </c>
      <c r="G70" s="174">
        <v>-1</v>
      </c>
      <c r="H70" s="174">
        <v>-1</v>
      </c>
      <c r="I70" s="174">
        <v>-1</v>
      </c>
      <c r="J70" s="174">
        <v>0</v>
      </c>
      <c r="K70" s="175">
        <v>0</v>
      </c>
      <c r="O70" s="199"/>
      <c r="P70" s="214" t="s">
        <v>115</v>
      </c>
      <c r="Q70" s="215"/>
      <c r="R70" s="174">
        <v>-2.625</v>
      </c>
      <c r="S70" s="174">
        <v>-2.625</v>
      </c>
      <c r="T70" s="174">
        <v>-2.625</v>
      </c>
      <c r="U70" s="216">
        <v>-3.25</v>
      </c>
      <c r="V70" s="216">
        <v>-3.625</v>
      </c>
      <c r="W70" s="216">
        <v>-5</v>
      </c>
      <c r="X70" s="179" t="s">
        <v>14</v>
      </c>
      <c r="Y70" s="175"/>
      <c r="AM70" s="64">
        <f t="shared" si="23"/>
        <v>7.625</v>
      </c>
      <c r="AN70" s="64">
        <v>107.43149999999999</v>
      </c>
      <c r="AO70" s="64">
        <v>107.33149999999999</v>
      </c>
      <c r="AP70" s="64">
        <v>107.33149999999999</v>
      </c>
      <c r="AR70" s="64">
        <f t="shared" si="26"/>
        <v>7.625</v>
      </c>
      <c r="AT70" s="64">
        <v>0.84949999999999437</v>
      </c>
      <c r="AU70" s="64">
        <v>0.84949999999999437</v>
      </c>
      <c r="AV70" s="64"/>
      <c r="AW70" s="64">
        <f t="shared" si="24"/>
        <v>0.84949999999999437</v>
      </c>
      <c r="AX70" s="64"/>
      <c r="AY70" s="64"/>
      <c r="AZ70" s="64"/>
    </row>
    <row r="71" spans="1:56">
      <c r="A71" s="146" t="s">
        <v>71</v>
      </c>
      <c r="B71" s="144" t="s">
        <v>73</v>
      </c>
      <c r="C71" s="121"/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80">
        <v>0</v>
      </c>
      <c r="J71" s="178" t="s">
        <v>14</v>
      </c>
      <c r="K71" s="181">
        <v>0</v>
      </c>
      <c r="O71" s="217" t="s">
        <v>71</v>
      </c>
      <c r="P71" s="214" t="s">
        <v>73</v>
      </c>
      <c r="Q71" s="218"/>
      <c r="R71" s="179">
        <v>-0.25</v>
      </c>
      <c r="S71" s="179">
        <v>-0.25</v>
      </c>
      <c r="T71" s="179">
        <v>-0.25</v>
      </c>
      <c r="U71" s="179">
        <v>-0.25</v>
      </c>
      <c r="V71" s="179">
        <v>-0.25</v>
      </c>
      <c r="W71" s="180">
        <v>-0.25</v>
      </c>
      <c r="X71" s="180" t="s">
        <v>14</v>
      </c>
      <c r="Y71" s="181"/>
      <c r="AM71" s="64">
        <f t="shared" si="23"/>
        <v>7.75</v>
      </c>
      <c r="AN71" s="64">
        <v>107.8685</v>
      </c>
      <c r="AO71" s="64">
        <v>107.76849999999999</v>
      </c>
      <c r="AP71" s="64">
        <v>107.76849999999999</v>
      </c>
      <c r="AR71" s="64">
        <f t="shared" si="26"/>
        <v>7.75</v>
      </c>
      <c r="AT71" s="64">
        <v>0.84949999999999437</v>
      </c>
      <c r="AU71" s="64">
        <v>0.84949999999999437</v>
      </c>
      <c r="AV71" s="64"/>
      <c r="AW71" s="64">
        <f t="shared" si="24"/>
        <v>0.84949999999999437</v>
      </c>
      <c r="AX71" s="64"/>
      <c r="AY71" s="64"/>
      <c r="AZ71" s="64"/>
    </row>
    <row r="72" spans="1:56">
      <c r="A72" s="147" t="s">
        <v>75</v>
      </c>
      <c r="B72" s="139" t="s">
        <v>76</v>
      </c>
      <c r="C72" s="148"/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82">
        <v>0</v>
      </c>
      <c r="O72" s="219" t="s">
        <v>75</v>
      </c>
      <c r="P72" s="207" t="s">
        <v>76</v>
      </c>
      <c r="Q72" s="220"/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82"/>
      <c r="AM72" s="64">
        <f t="shared" si="23"/>
        <v>7.875</v>
      </c>
      <c r="AN72" s="64">
        <v>108.2435</v>
      </c>
      <c r="AO72" s="64">
        <v>108.14349999999999</v>
      </c>
      <c r="AP72" s="64">
        <v>108.14349999999999</v>
      </c>
      <c r="AR72" s="64">
        <f t="shared" si="26"/>
        <v>7.875</v>
      </c>
      <c r="AT72" s="64">
        <v>0.84949999999999437</v>
      </c>
      <c r="AU72" s="64">
        <v>0.84949999999999437</v>
      </c>
      <c r="AV72" s="64"/>
      <c r="AW72" s="64">
        <f t="shared" si="24"/>
        <v>0.84949999999999437</v>
      </c>
      <c r="AX72" s="64"/>
      <c r="AY72" s="64"/>
      <c r="AZ72" s="64"/>
      <c r="BD72" s="118"/>
    </row>
    <row r="73" spans="1:56">
      <c r="A73" s="146" t="s">
        <v>77</v>
      </c>
      <c r="B73" s="149" t="s">
        <v>78</v>
      </c>
      <c r="C73" s="150"/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 t="s">
        <v>14</v>
      </c>
      <c r="K73" s="182">
        <v>0</v>
      </c>
      <c r="O73" s="217" t="s">
        <v>77</v>
      </c>
      <c r="P73" s="214" t="s">
        <v>78</v>
      </c>
      <c r="Q73" s="218"/>
      <c r="R73" s="179">
        <v>-0.25</v>
      </c>
      <c r="S73" s="179">
        <v>-0.25</v>
      </c>
      <c r="T73" s="179">
        <v>-0.25</v>
      </c>
      <c r="U73" s="179">
        <v>-0.25</v>
      </c>
      <c r="V73" s="179">
        <v>-0.375</v>
      </c>
      <c r="W73" s="179">
        <v>-0.375</v>
      </c>
      <c r="X73" s="179" t="s">
        <v>14</v>
      </c>
      <c r="Y73" s="182"/>
      <c r="AM73" s="64">
        <f t="shared" si="23"/>
        <v>8</v>
      </c>
      <c r="AN73" s="64">
        <v>108.6185</v>
      </c>
      <c r="AO73" s="64">
        <v>108.51849999999999</v>
      </c>
      <c r="AP73" s="64">
        <v>108.51849999999999</v>
      </c>
      <c r="AR73" s="64">
        <f t="shared" si="26"/>
        <v>8</v>
      </c>
      <c r="AT73" s="64">
        <v>0.84949999999999437</v>
      </c>
      <c r="AU73" s="64">
        <v>0.84949999999999437</v>
      </c>
      <c r="AV73" s="64"/>
      <c r="AW73" s="64">
        <f t="shared" si="24"/>
        <v>0.84949999999999437</v>
      </c>
      <c r="AX73" s="64"/>
      <c r="AY73" s="64"/>
      <c r="AZ73" s="64"/>
      <c r="BD73" s="118"/>
    </row>
    <row r="74" spans="1:56">
      <c r="A74" s="147"/>
      <c r="B74" s="139" t="s">
        <v>125</v>
      </c>
      <c r="C74" s="148"/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83">
        <v>0</v>
      </c>
      <c r="O74" s="219"/>
      <c r="P74" s="207" t="s">
        <v>125</v>
      </c>
      <c r="Q74" s="220"/>
      <c r="R74" s="221">
        <v>-0.75</v>
      </c>
      <c r="S74" s="221">
        <v>-0.75</v>
      </c>
      <c r="T74" s="221">
        <v>-0.875</v>
      </c>
      <c r="U74" s="221">
        <v>-0.875</v>
      </c>
      <c r="V74" s="221">
        <v>-0.875</v>
      </c>
      <c r="W74" s="221">
        <v>-1.75</v>
      </c>
      <c r="X74" s="177">
        <v>-2</v>
      </c>
      <c r="Y74" s="183"/>
      <c r="AM74" s="64">
        <f t="shared" si="23"/>
        <v>8.125</v>
      </c>
      <c r="AN74" s="64">
        <v>108.9935</v>
      </c>
      <c r="AO74" s="64">
        <v>108.89349999999999</v>
      </c>
      <c r="AP74" s="64">
        <v>108.89349999999999</v>
      </c>
      <c r="AR74" s="64">
        <f t="shared" si="26"/>
        <v>8.125</v>
      </c>
      <c r="AT74" s="64">
        <v>0.84949999999999437</v>
      </c>
      <c r="AU74" s="64">
        <v>0.84949999999999437</v>
      </c>
      <c r="AV74" s="64"/>
      <c r="AW74" s="64">
        <f t="shared" si="24"/>
        <v>0.84949999999999437</v>
      </c>
      <c r="AX74" s="64"/>
      <c r="AY74" s="64"/>
      <c r="AZ74" s="64"/>
      <c r="BD74" s="118"/>
    </row>
    <row r="75" spans="1:56">
      <c r="A75" s="151"/>
      <c r="B75" s="142" t="s">
        <v>126</v>
      </c>
      <c r="C75" s="119"/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82">
        <v>0</v>
      </c>
      <c r="O75" s="222"/>
      <c r="P75" s="211" t="s">
        <v>126</v>
      </c>
      <c r="Q75" s="223"/>
      <c r="R75" s="188">
        <v>-0.25</v>
      </c>
      <c r="S75" s="188">
        <v>-0.25</v>
      </c>
      <c r="T75" s="188">
        <v>-0.25</v>
      </c>
      <c r="U75" s="188">
        <v>-0.25</v>
      </c>
      <c r="V75" s="188">
        <v>-0.25</v>
      </c>
      <c r="W75" s="188">
        <v>-0.25</v>
      </c>
      <c r="X75" s="188">
        <v>-0.5</v>
      </c>
      <c r="Y75" s="182"/>
      <c r="AM75" s="64">
        <f t="shared" si="23"/>
        <v>8.25</v>
      </c>
      <c r="AN75" s="64">
        <v>109.4935</v>
      </c>
      <c r="AO75" s="64">
        <v>109.39349999999999</v>
      </c>
      <c r="AP75" s="64">
        <v>109.39349999999999</v>
      </c>
      <c r="AR75" s="64">
        <f t="shared" si="26"/>
        <v>8.25</v>
      </c>
      <c r="AT75" s="64">
        <v>0.97449999999999437</v>
      </c>
      <c r="AU75" s="64">
        <v>0.97449999999999437</v>
      </c>
      <c r="AV75" s="64"/>
      <c r="AW75" s="64">
        <f t="shared" si="24"/>
        <v>0.97449999999999437</v>
      </c>
      <c r="AX75" s="64"/>
      <c r="AY75" s="64"/>
      <c r="AZ75" s="64"/>
      <c r="BD75" s="118"/>
    </row>
    <row r="76" spans="1:56">
      <c r="A76" s="152" t="s">
        <v>47</v>
      </c>
      <c r="B76" s="142" t="s">
        <v>219</v>
      </c>
      <c r="C76" s="120"/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82">
        <v>0</v>
      </c>
      <c r="O76" s="224" t="s">
        <v>47</v>
      </c>
      <c r="P76" s="211" t="s">
        <v>219</v>
      </c>
      <c r="Q76" s="223"/>
      <c r="R76" s="178">
        <v>0</v>
      </c>
      <c r="S76" s="178">
        <v>0</v>
      </c>
      <c r="T76" s="178">
        <v>0</v>
      </c>
      <c r="U76" s="178">
        <v>0</v>
      </c>
      <c r="V76" s="178">
        <v>0</v>
      </c>
      <c r="W76" s="178">
        <v>0</v>
      </c>
      <c r="X76" s="178">
        <v>0</v>
      </c>
      <c r="Y76" s="182"/>
      <c r="AM76" s="64">
        <f t="shared" si="23"/>
        <v>8.375</v>
      </c>
      <c r="AN76" s="64">
        <v>109.8685</v>
      </c>
      <c r="AO76" s="64">
        <v>109.76849999999999</v>
      </c>
      <c r="AP76" s="64">
        <v>109.76849999999999</v>
      </c>
      <c r="AR76" s="64">
        <f t="shared" si="26"/>
        <v>8.375</v>
      </c>
      <c r="AT76" s="64">
        <v>0.97449999999999437</v>
      </c>
      <c r="AU76" s="64">
        <v>0.97449999999999437</v>
      </c>
      <c r="AV76" s="64"/>
      <c r="AW76" s="64">
        <f t="shared" si="24"/>
        <v>0.97449999999999437</v>
      </c>
      <c r="AX76" s="64"/>
      <c r="AY76" s="64"/>
      <c r="AZ76" s="64"/>
      <c r="BD76" s="118"/>
    </row>
    <row r="77" spans="1:56">
      <c r="A77" s="153"/>
      <c r="B77" s="154" t="s">
        <v>220</v>
      </c>
      <c r="C77" s="119"/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82">
        <v>0</v>
      </c>
      <c r="O77" s="225"/>
      <c r="P77" s="211" t="s">
        <v>220</v>
      </c>
      <c r="Q77" s="223"/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82"/>
      <c r="AM77" s="64">
        <f t="shared" si="23"/>
        <v>8.5</v>
      </c>
      <c r="AN77" s="64">
        <v>110.18149999999999</v>
      </c>
      <c r="AO77" s="64">
        <v>110.08149999999999</v>
      </c>
      <c r="AP77" s="64">
        <v>110.08149999999999</v>
      </c>
      <c r="AR77" s="64">
        <f t="shared" si="26"/>
        <v>8.5</v>
      </c>
      <c r="AT77" s="64">
        <v>0.97449999999999437</v>
      </c>
      <c r="AU77" s="64">
        <v>0.97449999999999437</v>
      </c>
      <c r="AV77" s="64"/>
      <c r="AW77" s="64">
        <f t="shared" si="24"/>
        <v>0.97449999999999437</v>
      </c>
      <c r="AX77" s="64"/>
      <c r="AY77" s="64"/>
      <c r="AZ77" s="64"/>
      <c r="BD77" s="118"/>
    </row>
    <row r="78" spans="1:56">
      <c r="A78" s="151"/>
      <c r="B78" s="142" t="s">
        <v>50</v>
      </c>
      <c r="C78" s="120"/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82">
        <v>0</v>
      </c>
      <c r="O78" s="222"/>
      <c r="P78" s="211" t="s">
        <v>50</v>
      </c>
      <c r="Q78" s="223"/>
      <c r="R78" s="178">
        <v>0</v>
      </c>
      <c r="S78" s="178">
        <v>0</v>
      </c>
      <c r="T78" s="178">
        <v>0</v>
      </c>
      <c r="U78" s="178">
        <v>0</v>
      </c>
      <c r="V78" s="178">
        <v>0</v>
      </c>
      <c r="W78" s="178">
        <v>0</v>
      </c>
      <c r="X78" s="178">
        <v>-0.5</v>
      </c>
      <c r="Y78" s="182"/>
      <c r="AM78" s="64">
        <f t="shared" si="23"/>
        <v>8.625</v>
      </c>
      <c r="AN78" s="64">
        <v>110.4935</v>
      </c>
      <c r="AO78" s="64">
        <v>110.39349999999999</v>
      </c>
      <c r="AP78" s="64">
        <v>110.39349999999999</v>
      </c>
      <c r="AR78" s="64">
        <f t="shared" si="26"/>
        <v>8.625</v>
      </c>
      <c r="AT78" s="64">
        <v>0.97449999999999437</v>
      </c>
      <c r="AU78" s="64">
        <v>0.97449999999999437</v>
      </c>
      <c r="AV78" s="64"/>
      <c r="AW78" s="64">
        <f t="shared" si="24"/>
        <v>0.97449999999999437</v>
      </c>
      <c r="AX78" s="64"/>
      <c r="AY78" s="64"/>
      <c r="AZ78" s="64"/>
      <c r="BD78" s="118"/>
    </row>
    <row r="79" spans="1:56">
      <c r="A79" s="151"/>
      <c r="B79" s="154" t="s">
        <v>51</v>
      </c>
      <c r="C79" s="119"/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 t="s">
        <v>14</v>
      </c>
      <c r="K79" s="182">
        <v>0</v>
      </c>
      <c r="O79" s="222"/>
      <c r="P79" s="211" t="s">
        <v>51</v>
      </c>
      <c r="Q79" s="223"/>
      <c r="R79" s="178">
        <v>0</v>
      </c>
      <c r="S79" s="178">
        <v>0</v>
      </c>
      <c r="T79" s="178">
        <v>-0.125</v>
      </c>
      <c r="U79" s="178">
        <v>-0.125</v>
      </c>
      <c r="V79" s="178">
        <v>-0.25</v>
      </c>
      <c r="W79" s="178">
        <v>-0.5</v>
      </c>
      <c r="X79" s="178">
        <v>-1.75</v>
      </c>
      <c r="Y79" s="182"/>
      <c r="AM79" s="64">
        <f t="shared" si="23"/>
        <v>8.75</v>
      </c>
      <c r="AN79" s="64">
        <v>110.80649999999999</v>
      </c>
      <c r="AO79" s="64">
        <v>110.70649999999999</v>
      </c>
      <c r="AP79" s="64">
        <v>110.70649999999999</v>
      </c>
      <c r="AR79" s="64">
        <f t="shared" si="26"/>
        <v>8.75</v>
      </c>
      <c r="AT79" s="64">
        <v>0.97449999999999437</v>
      </c>
      <c r="AU79" s="64">
        <v>0.97449999999999437</v>
      </c>
      <c r="AV79" s="64"/>
      <c r="AW79" s="64">
        <f t="shared" si="24"/>
        <v>0.97449999999999437</v>
      </c>
      <c r="AX79" s="64"/>
      <c r="AY79" s="64"/>
      <c r="AZ79" s="64"/>
      <c r="BD79" s="118"/>
    </row>
    <row r="80" spans="1:56">
      <c r="A80" s="151"/>
      <c r="B80" s="142" t="s">
        <v>52</v>
      </c>
      <c r="C80" s="120"/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 t="s">
        <v>14</v>
      </c>
      <c r="J80" s="178" t="s">
        <v>14</v>
      </c>
      <c r="K80" s="182">
        <v>0</v>
      </c>
      <c r="O80" s="222"/>
      <c r="P80" s="211" t="s">
        <v>52</v>
      </c>
      <c r="Q80" s="223"/>
      <c r="R80" s="178">
        <v>-0.375</v>
      </c>
      <c r="S80" s="178">
        <v>-0.375</v>
      </c>
      <c r="T80" s="178">
        <v>-0.5</v>
      </c>
      <c r="U80" s="178">
        <v>-0.75</v>
      </c>
      <c r="V80" s="178">
        <v>-1</v>
      </c>
      <c r="W80" s="768">
        <v>-1</v>
      </c>
      <c r="X80" s="768">
        <v>-3.5</v>
      </c>
      <c r="Y80" s="182"/>
      <c r="AM80" s="64">
        <f t="shared" si="23"/>
        <v>8.875</v>
      </c>
      <c r="AN80" s="64">
        <v>111.05649999999999</v>
      </c>
      <c r="AO80" s="64">
        <v>110.95649999999999</v>
      </c>
      <c r="AP80" s="64">
        <v>110.95649999999999</v>
      </c>
      <c r="AR80" s="64">
        <f t="shared" si="26"/>
        <v>8.875</v>
      </c>
      <c r="AT80" s="64">
        <v>0.97449999999999437</v>
      </c>
      <c r="AU80" s="64">
        <v>0.97449999999999437</v>
      </c>
      <c r="AV80" s="64"/>
      <c r="AW80" s="64">
        <f t="shared" si="24"/>
        <v>0.97449999999999437</v>
      </c>
      <c r="AX80" s="64"/>
      <c r="AY80" s="64"/>
      <c r="AZ80" s="64"/>
      <c r="BD80" s="118"/>
    </row>
    <row r="81" spans="1:56">
      <c r="A81" s="151"/>
      <c r="B81" s="142" t="s">
        <v>53</v>
      </c>
      <c r="C81" s="120"/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 t="s">
        <v>14</v>
      </c>
      <c r="J81" s="178" t="s">
        <v>14</v>
      </c>
      <c r="K81" s="182">
        <v>0</v>
      </c>
      <c r="O81" s="222"/>
      <c r="P81" s="211" t="s">
        <v>53</v>
      </c>
      <c r="Q81" s="223"/>
      <c r="R81" s="178">
        <v>-0.75</v>
      </c>
      <c r="S81" s="178">
        <v>-0.75</v>
      </c>
      <c r="T81" s="178">
        <v>-0.75</v>
      </c>
      <c r="U81" s="178">
        <v>-1.125</v>
      </c>
      <c r="V81" s="178">
        <v>-1.25</v>
      </c>
      <c r="W81" s="768">
        <v>-1.75</v>
      </c>
      <c r="X81" s="768" t="s">
        <v>14</v>
      </c>
      <c r="Y81" s="182"/>
      <c r="AM81" s="64">
        <f t="shared" si="23"/>
        <v>9</v>
      </c>
      <c r="AN81" s="64">
        <v>111.30649999999999</v>
      </c>
      <c r="AO81" s="64">
        <v>111.20649999999999</v>
      </c>
      <c r="AP81" s="64">
        <v>111.20649999999999</v>
      </c>
      <c r="AR81" s="64">
        <f t="shared" si="26"/>
        <v>9</v>
      </c>
      <c r="AT81" s="64">
        <v>0.97449999999999437</v>
      </c>
      <c r="AU81" s="64">
        <v>0.97449999999999437</v>
      </c>
      <c r="AV81" s="64"/>
      <c r="AW81" s="64">
        <f t="shared" si="24"/>
        <v>0.97449999999999437</v>
      </c>
      <c r="AX81" s="64"/>
      <c r="AY81" s="64"/>
      <c r="AZ81" s="64"/>
      <c r="BD81" s="118"/>
    </row>
    <row r="82" spans="1:56">
      <c r="A82" s="151"/>
      <c r="B82" s="144" t="s">
        <v>54</v>
      </c>
      <c r="C82" s="121"/>
      <c r="D82" s="179">
        <v>0</v>
      </c>
      <c r="E82" s="179">
        <v>0</v>
      </c>
      <c r="F82" s="179">
        <v>0</v>
      </c>
      <c r="G82" s="179">
        <v>0</v>
      </c>
      <c r="H82" s="179">
        <v>0</v>
      </c>
      <c r="I82" s="178" t="s">
        <v>14</v>
      </c>
      <c r="J82" s="178" t="s">
        <v>14</v>
      </c>
      <c r="K82" s="181">
        <v>0</v>
      </c>
      <c r="O82" s="222"/>
      <c r="P82" s="214" t="s">
        <v>54</v>
      </c>
      <c r="Q82" s="218"/>
      <c r="R82" s="179">
        <v>-1.5</v>
      </c>
      <c r="S82" s="179">
        <v>-1.5</v>
      </c>
      <c r="T82" s="179">
        <v>-1.5</v>
      </c>
      <c r="U82" s="179">
        <v>-1.5</v>
      </c>
      <c r="V82" s="179">
        <v>-2</v>
      </c>
      <c r="W82" s="768">
        <v>-2.5</v>
      </c>
      <c r="X82" s="768" t="s">
        <v>14</v>
      </c>
      <c r="Y82" s="181"/>
      <c r="AM82" s="64">
        <f t="shared" si="23"/>
        <v>9.125</v>
      </c>
      <c r="AN82" s="64">
        <v>111.55649999999999</v>
      </c>
      <c r="AO82" s="64">
        <v>111.45649999999999</v>
      </c>
      <c r="AP82" s="64">
        <v>111.45649999999999</v>
      </c>
      <c r="AR82" s="64">
        <f t="shared" si="26"/>
        <v>9.125</v>
      </c>
      <c r="AT82" s="64">
        <v>0.97449999999999437</v>
      </c>
      <c r="AU82" s="64">
        <v>0.97449999999999437</v>
      </c>
      <c r="AV82" s="64"/>
      <c r="AW82" s="64">
        <f t="shared" si="24"/>
        <v>0.97449999999999437</v>
      </c>
      <c r="AX82" s="64"/>
      <c r="AY82" s="64"/>
      <c r="AZ82" s="64"/>
      <c r="BD82" s="118"/>
    </row>
    <row r="83" spans="1:56">
      <c r="A83" s="155" t="s">
        <v>56</v>
      </c>
      <c r="B83" s="139" t="s">
        <v>221</v>
      </c>
      <c r="C83" s="148"/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 t="s">
        <v>14</v>
      </c>
      <c r="K83" s="182">
        <v>0</v>
      </c>
      <c r="O83" s="226" t="s">
        <v>56</v>
      </c>
      <c r="P83" s="207" t="s">
        <v>459</v>
      </c>
      <c r="Q83" s="220"/>
      <c r="R83" s="177">
        <v>-0.375</v>
      </c>
      <c r="S83" s="177">
        <v>-0.375</v>
      </c>
      <c r="T83" s="177">
        <v>-0.375</v>
      </c>
      <c r="U83" s="177">
        <v>-0.5</v>
      </c>
      <c r="V83" s="221">
        <v>-0.75</v>
      </c>
      <c r="W83" s="221">
        <v>-1.25</v>
      </c>
      <c r="X83" s="177">
        <v>-2.5</v>
      </c>
      <c r="Y83" s="182"/>
      <c r="AM83" s="64">
        <f t="shared" si="23"/>
        <v>9.25</v>
      </c>
      <c r="AN83" s="64">
        <v>111.80649999999999</v>
      </c>
      <c r="AO83" s="64">
        <v>111.70649999999999</v>
      </c>
      <c r="AP83" s="64">
        <v>111.70649999999999</v>
      </c>
      <c r="AR83" s="64">
        <f t="shared" si="26"/>
        <v>9.25</v>
      </c>
      <c r="AT83" s="64">
        <v>0.97449999999999437</v>
      </c>
      <c r="AU83" s="64">
        <v>0.97449999999999437</v>
      </c>
      <c r="AV83" s="64"/>
      <c r="AW83" s="64">
        <f t="shared" si="24"/>
        <v>0.97449999999999437</v>
      </c>
      <c r="AX83" s="64"/>
      <c r="AY83" s="64"/>
      <c r="AZ83" s="64"/>
      <c r="BD83" s="118"/>
    </row>
    <row r="84" spans="1:56">
      <c r="A84" s="156"/>
      <c r="B84" s="144" t="s">
        <v>222</v>
      </c>
      <c r="C84" s="121"/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8" t="s">
        <v>14</v>
      </c>
      <c r="K84" s="181">
        <v>0</v>
      </c>
      <c r="O84" s="227"/>
      <c r="P84" s="214" t="s">
        <v>460</v>
      </c>
      <c r="Q84" s="218"/>
      <c r="R84" s="179">
        <v>-0.75</v>
      </c>
      <c r="S84" s="179">
        <v>-0.75</v>
      </c>
      <c r="T84" s="179">
        <v>-0.75</v>
      </c>
      <c r="U84" s="179">
        <v>-0.875</v>
      </c>
      <c r="V84" s="228">
        <v>-1.25</v>
      </c>
      <c r="W84" s="228">
        <v>-1.75</v>
      </c>
      <c r="X84" s="179" t="s">
        <v>14</v>
      </c>
      <c r="Y84" s="181"/>
      <c r="AY84" s="64"/>
    </row>
    <row r="85" spans="1:56">
      <c r="A85" s="127" t="s">
        <v>62</v>
      </c>
      <c r="B85" s="139" t="s">
        <v>63</v>
      </c>
      <c r="C85" s="148"/>
      <c r="D85" s="178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82">
        <v>0</v>
      </c>
      <c r="O85" s="194" t="s">
        <v>62</v>
      </c>
      <c r="P85" s="207" t="s">
        <v>63</v>
      </c>
      <c r="Q85" s="220"/>
      <c r="R85" s="178">
        <v>-0.125</v>
      </c>
      <c r="S85" s="177">
        <v>-0.125</v>
      </c>
      <c r="T85" s="177">
        <v>-0.125</v>
      </c>
      <c r="U85" s="177">
        <v>-0.25</v>
      </c>
      <c r="V85" s="221">
        <v>-0.5</v>
      </c>
      <c r="W85" s="221">
        <v>-0.75</v>
      </c>
      <c r="X85" s="177">
        <v>-1.25</v>
      </c>
      <c r="Y85" s="182"/>
      <c r="AY85" s="64"/>
    </row>
    <row r="86" spans="1:56">
      <c r="A86" s="127"/>
      <c r="B86" s="142" t="s">
        <v>182</v>
      </c>
      <c r="C86" s="120"/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 t="s">
        <v>14</v>
      </c>
      <c r="K86" s="182">
        <v>0</v>
      </c>
      <c r="O86" s="194"/>
      <c r="P86" s="211" t="s">
        <v>182</v>
      </c>
      <c r="Q86" s="223"/>
      <c r="R86" s="178">
        <v>-1.375</v>
      </c>
      <c r="S86" s="178">
        <v>-1.375</v>
      </c>
      <c r="T86" s="178">
        <v>-1.375</v>
      </c>
      <c r="U86" s="178">
        <v>-1.375</v>
      </c>
      <c r="V86" s="178">
        <v>-1.375</v>
      </c>
      <c r="W86" s="178">
        <v>-1.375</v>
      </c>
      <c r="X86" s="178">
        <v>-3</v>
      </c>
      <c r="Y86" s="182"/>
      <c r="AY86" s="64"/>
    </row>
    <row r="87" spans="1:56">
      <c r="A87" s="156"/>
      <c r="B87" s="144" t="s">
        <v>64</v>
      </c>
      <c r="C87" s="121"/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  <c r="J87" s="179">
        <v>0</v>
      </c>
      <c r="K87" s="181">
        <v>0</v>
      </c>
      <c r="O87" s="227"/>
      <c r="P87" s="214" t="s">
        <v>64</v>
      </c>
      <c r="Q87" s="218"/>
      <c r="R87" s="179">
        <v>-0.5</v>
      </c>
      <c r="S87" s="179">
        <v>-0.5</v>
      </c>
      <c r="T87" s="179">
        <v>-0.5</v>
      </c>
      <c r="U87" s="179">
        <v>-0.5</v>
      </c>
      <c r="V87" s="179">
        <v>-0.625</v>
      </c>
      <c r="W87" s="179">
        <v>-0.75</v>
      </c>
      <c r="X87" s="179">
        <v>-1.25</v>
      </c>
      <c r="Y87" s="181"/>
      <c r="AY87" s="64"/>
    </row>
    <row r="88" spans="1:56">
      <c r="A88" s="157" t="s">
        <v>133</v>
      </c>
      <c r="B88" s="139" t="s">
        <v>134</v>
      </c>
      <c r="C88" s="158"/>
      <c r="D88" s="178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84">
        <v>0</v>
      </c>
      <c r="K88" s="181">
        <v>0</v>
      </c>
      <c r="O88" s="229" t="s">
        <v>133</v>
      </c>
      <c r="P88" s="207" t="s">
        <v>134</v>
      </c>
      <c r="Q88" s="230"/>
      <c r="R88" s="178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-0.25</v>
      </c>
      <c r="X88" s="184">
        <v>-0.5</v>
      </c>
      <c r="Y88" s="181"/>
      <c r="AY88" s="64"/>
    </row>
    <row r="89" spans="1:56">
      <c r="A89" s="159" t="s">
        <v>65</v>
      </c>
      <c r="B89" s="160" t="s">
        <v>223</v>
      </c>
      <c r="C89" s="161"/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85">
        <v>0</v>
      </c>
      <c r="O89" s="231" t="s">
        <v>65</v>
      </c>
      <c r="P89" s="232" t="s">
        <v>223</v>
      </c>
      <c r="Q89" s="233"/>
      <c r="R89" s="171">
        <v>-0.25</v>
      </c>
      <c r="S89" s="171">
        <v>-0.25</v>
      </c>
      <c r="T89" s="171">
        <v>-0.25</v>
      </c>
      <c r="U89" s="171">
        <v>-0.25</v>
      </c>
      <c r="V89" s="171">
        <v>-0.25</v>
      </c>
      <c r="W89" s="171">
        <v>-0.375</v>
      </c>
      <c r="X89" s="171">
        <v>-0.5</v>
      </c>
      <c r="Y89" s="185"/>
      <c r="AY89" s="64"/>
    </row>
    <row r="90" spans="1:56">
      <c r="A90" s="162"/>
      <c r="B90" s="144" t="s">
        <v>136</v>
      </c>
      <c r="C90" s="145"/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  <c r="J90" s="179">
        <v>0.5</v>
      </c>
      <c r="K90" s="186">
        <v>0</v>
      </c>
      <c r="O90" s="234"/>
      <c r="P90" s="214" t="s">
        <v>136</v>
      </c>
      <c r="Q90" s="215"/>
      <c r="R90" s="228">
        <v>-0.5</v>
      </c>
      <c r="S90" s="228">
        <v>-0.5</v>
      </c>
      <c r="T90" s="228">
        <v>-0.5</v>
      </c>
      <c r="U90" s="228">
        <v>-0.5</v>
      </c>
      <c r="V90" s="228">
        <v>-0.625</v>
      </c>
      <c r="W90" s="228">
        <v>-0.75</v>
      </c>
      <c r="X90" s="228">
        <v>-1.25</v>
      </c>
      <c r="Y90" s="186"/>
      <c r="AY90" s="64"/>
    </row>
    <row r="91" spans="1:56">
      <c r="A91" s="127"/>
      <c r="B91" s="142" t="s">
        <v>95</v>
      </c>
      <c r="C91" s="143"/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82">
        <v>0</v>
      </c>
      <c r="O91" s="194"/>
      <c r="P91" s="211" t="s">
        <v>95</v>
      </c>
      <c r="Q91" s="212"/>
      <c r="R91" s="178">
        <v>1</v>
      </c>
      <c r="S91" s="178">
        <v>1</v>
      </c>
      <c r="T91" s="178">
        <v>1</v>
      </c>
      <c r="U91" s="178">
        <v>1</v>
      </c>
      <c r="V91" s="178">
        <v>1.125</v>
      </c>
      <c r="W91" s="178">
        <v>1.125</v>
      </c>
      <c r="X91" s="178">
        <v>1.125</v>
      </c>
      <c r="Y91" s="178"/>
      <c r="AC91" s="211" t="s">
        <v>95</v>
      </c>
      <c r="AD91" s="834">
        <v>1</v>
      </c>
      <c r="AE91" s="834">
        <v>1</v>
      </c>
      <c r="AF91" s="834">
        <v>1</v>
      </c>
      <c r="AG91" s="834">
        <v>1</v>
      </c>
      <c r="AH91" s="834">
        <v>1.125</v>
      </c>
      <c r="AI91" s="834">
        <v>1.125</v>
      </c>
      <c r="AJ91" s="835">
        <v>1.125</v>
      </c>
      <c r="AK91" s="836">
        <v>1</v>
      </c>
      <c r="AY91" s="64"/>
    </row>
    <row r="92" spans="1:56">
      <c r="A92" s="163" t="s">
        <v>137</v>
      </c>
      <c r="B92" s="142" t="s">
        <v>96</v>
      </c>
      <c r="C92" s="143"/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82">
        <v>0</v>
      </c>
      <c r="O92" s="235" t="s">
        <v>137</v>
      </c>
      <c r="P92" s="211" t="s">
        <v>96</v>
      </c>
      <c r="Q92" s="212"/>
      <c r="R92" s="178">
        <v>0.75</v>
      </c>
      <c r="S92" s="178">
        <v>0.75</v>
      </c>
      <c r="T92" s="178">
        <v>0.75</v>
      </c>
      <c r="U92" s="178">
        <v>0.75</v>
      </c>
      <c r="V92" s="178">
        <v>0.875</v>
      </c>
      <c r="W92" s="178">
        <v>0.875</v>
      </c>
      <c r="X92" s="178">
        <v>0.875</v>
      </c>
      <c r="Y92" s="178"/>
      <c r="AC92" s="211" t="s">
        <v>96</v>
      </c>
      <c r="AD92" s="834">
        <v>0.75</v>
      </c>
      <c r="AE92" s="834">
        <v>0.75</v>
      </c>
      <c r="AF92" s="834">
        <v>0.75</v>
      </c>
      <c r="AG92" s="834">
        <v>0.75</v>
      </c>
      <c r="AH92" s="834">
        <v>0.875</v>
      </c>
      <c r="AI92" s="834">
        <v>0.875</v>
      </c>
      <c r="AJ92" s="835">
        <v>0.875</v>
      </c>
      <c r="AK92" s="837">
        <v>0.75</v>
      </c>
      <c r="AY92" s="64"/>
    </row>
    <row r="93" spans="1:56">
      <c r="A93" s="127" t="s">
        <v>138</v>
      </c>
      <c r="B93" s="142" t="s">
        <v>7</v>
      </c>
      <c r="C93" s="143"/>
      <c r="D93" s="178">
        <v>0.25</v>
      </c>
      <c r="E93" s="178">
        <v>0.25</v>
      </c>
      <c r="F93" s="178">
        <v>0.25</v>
      </c>
      <c r="G93" s="178">
        <v>0.25</v>
      </c>
      <c r="H93" s="178">
        <v>0.375</v>
      </c>
      <c r="I93" s="178">
        <v>0.375</v>
      </c>
      <c r="J93" s="178">
        <v>0.375</v>
      </c>
      <c r="K93" s="182">
        <v>0</v>
      </c>
      <c r="O93" s="194" t="s">
        <v>138</v>
      </c>
      <c r="P93" s="211" t="s">
        <v>7</v>
      </c>
      <c r="Q93" s="212"/>
      <c r="R93" s="188">
        <v>0.25</v>
      </c>
      <c r="S93" s="188">
        <v>0.25</v>
      </c>
      <c r="T93" s="188">
        <v>0.25</v>
      </c>
      <c r="U93" s="188">
        <v>0.25</v>
      </c>
      <c r="V93" s="188">
        <v>0.25</v>
      </c>
      <c r="W93" s="188">
        <v>0.25</v>
      </c>
      <c r="X93" s="188">
        <v>0.25</v>
      </c>
      <c r="Y93" s="188"/>
      <c r="AC93" s="211" t="s">
        <v>7</v>
      </c>
      <c r="AD93" s="122">
        <v>0.25</v>
      </c>
      <c r="AE93" s="122">
        <v>0.25</v>
      </c>
      <c r="AF93" s="122">
        <v>0.25</v>
      </c>
      <c r="AG93" s="122">
        <v>0.25</v>
      </c>
      <c r="AH93" s="122">
        <v>0.25</v>
      </c>
      <c r="AI93" s="122">
        <v>0.25</v>
      </c>
      <c r="AJ93" s="122">
        <v>0.25</v>
      </c>
      <c r="AK93" s="837">
        <v>0.25</v>
      </c>
      <c r="AY93" s="64"/>
    </row>
    <row r="94" spans="1:56" ht="16.5">
      <c r="A94" s="127" t="s">
        <v>224</v>
      </c>
      <c r="B94" s="142" t="s">
        <v>9</v>
      </c>
      <c r="C94" s="143"/>
      <c r="D94" s="178">
        <v>0.375</v>
      </c>
      <c r="E94" s="178">
        <v>0.375</v>
      </c>
      <c r="F94" s="178">
        <v>0.375</v>
      </c>
      <c r="G94" s="178">
        <v>0.375</v>
      </c>
      <c r="H94" s="178">
        <v>0.625</v>
      </c>
      <c r="I94" s="178">
        <v>0.625</v>
      </c>
      <c r="J94" s="178">
        <v>0.625</v>
      </c>
      <c r="K94" s="182">
        <v>0</v>
      </c>
      <c r="O94" s="194" t="s">
        <v>224</v>
      </c>
      <c r="P94" s="211" t="s">
        <v>9</v>
      </c>
      <c r="Q94" s="212"/>
      <c r="R94" s="178">
        <v>-0.375</v>
      </c>
      <c r="S94" s="178">
        <v>-0.375</v>
      </c>
      <c r="T94" s="178">
        <v>-0.375</v>
      </c>
      <c r="U94" s="178">
        <v>-0.375</v>
      </c>
      <c r="V94" s="178">
        <v>-0.5</v>
      </c>
      <c r="W94" s="178">
        <v>-0.5</v>
      </c>
      <c r="X94" s="178">
        <v>-0.5</v>
      </c>
      <c r="Y94" s="178"/>
      <c r="AC94" s="211" t="s">
        <v>9</v>
      </c>
      <c r="AD94" s="122">
        <v>-0.375</v>
      </c>
      <c r="AE94" s="122">
        <v>-0.375</v>
      </c>
      <c r="AF94" s="122">
        <v>-0.375</v>
      </c>
      <c r="AG94" s="122">
        <v>-0.375</v>
      </c>
      <c r="AH94" s="122">
        <v>-0.5</v>
      </c>
      <c r="AI94" s="122">
        <v>-0.5</v>
      </c>
      <c r="AJ94" s="122">
        <v>-0.5</v>
      </c>
      <c r="AK94" s="837">
        <v>-0.5</v>
      </c>
    </row>
    <row r="95" spans="1:56">
      <c r="A95" s="127"/>
      <c r="B95" s="142" t="s">
        <v>11</v>
      </c>
      <c r="C95" s="143"/>
      <c r="D95" s="178">
        <v>0.625</v>
      </c>
      <c r="E95" s="178">
        <v>0.625</v>
      </c>
      <c r="F95" s="178">
        <v>0.875</v>
      </c>
      <c r="G95" s="178">
        <v>0.875</v>
      </c>
      <c r="H95" s="178">
        <v>1.125</v>
      </c>
      <c r="I95" s="178">
        <v>1.125</v>
      </c>
      <c r="J95" s="178">
        <v>1.125</v>
      </c>
      <c r="K95" s="182">
        <v>0</v>
      </c>
      <c r="O95" s="194"/>
      <c r="P95" s="211" t="s">
        <v>11</v>
      </c>
      <c r="Q95" s="212"/>
      <c r="R95" s="178">
        <v>-1.125</v>
      </c>
      <c r="S95" s="178">
        <v>-1.125</v>
      </c>
      <c r="T95" s="178">
        <v>-1.375</v>
      </c>
      <c r="U95" s="178">
        <v>-1.375</v>
      </c>
      <c r="V95" s="178">
        <v>-1.6250000000000002</v>
      </c>
      <c r="W95" s="178">
        <v>-1.6250000000000002</v>
      </c>
      <c r="X95" s="178">
        <v>-1.6250000000000002</v>
      </c>
      <c r="Y95" s="178"/>
      <c r="AC95" s="211" t="s">
        <v>11</v>
      </c>
      <c r="AD95" s="122">
        <v>-1.125</v>
      </c>
      <c r="AE95" s="122">
        <v>-1.125</v>
      </c>
      <c r="AF95" s="122">
        <v>-1.375</v>
      </c>
      <c r="AG95" s="122">
        <v>-1.375</v>
      </c>
      <c r="AH95" s="122">
        <v>-1.6250000000000002</v>
      </c>
      <c r="AI95" s="122">
        <v>-1.6250000000000002</v>
      </c>
      <c r="AJ95" s="122">
        <v>-1.6250000000000002</v>
      </c>
      <c r="AK95" s="837">
        <v>-1.6250000000000002</v>
      </c>
    </row>
    <row r="96" spans="1:56">
      <c r="A96" s="127"/>
      <c r="B96" s="142" t="s">
        <v>97</v>
      </c>
      <c r="C96" s="143"/>
      <c r="D96" s="189">
        <v>0.75</v>
      </c>
      <c r="E96" s="189">
        <v>0.75</v>
      </c>
      <c r="F96" s="189">
        <v>1</v>
      </c>
      <c r="G96" s="189">
        <v>1</v>
      </c>
      <c r="H96" s="189">
        <v>1.25</v>
      </c>
      <c r="I96" s="189">
        <v>1.25</v>
      </c>
      <c r="J96" s="189">
        <v>1.25</v>
      </c>
      <c r="K96" s="190">
        <v>0</v>
      </c>
      <c r="O96" s="194"/>
      <c r="P96" s="211" t="s">
        <v>97</v>
      </c>
      <c r="Q96" s="212"/>
      <c r="R96" s="178">
        <v>-1.7500000000000002</v>
      </c>
      <c r="S96" s="178">
        <v>-1.7500000000000002</v>
      </c>
      <c r="T96" s="178">
        <v>-2</v>
      </c>
      <c r="U96" s="178">
        <v>-2</v>
      </c>
      <c r="V96" s="178">
        <v>-2.25</v>
      </c>
      <c r="W96" s="178">
        <v>-2.25</v>
      </c>
      <c r="X96" s="178">
        <v>-2.25</v>
      </c>
      <c r="Y96" s="178"/>
      <c r="AC96" s="211" t="s">
        <v>97</v>
      </c>
      <c r="AD96" s="122">
        <v>-1.7500000000000002</v>
      </c>
      <c r="AE96" s="122">
        <v>-1.7500000000000002</v>
      </c>
      <c r="AF96" s="122">
        <v>-2</v>
      </c>
      <c r="AG96" s="122">
        <v>-2</v>
      </c>
      <c r="AH96" s="122">
        <v>-2.25</v>
      </c>
      <c r="AI96" s="122">
        <v>-2.25</v>
      </c>
      <c r="AJ96" s="123">
        <v>-2.25</v>
      </c>
      <c r="AK96" s="838">
        <v>-2.25</v>
      </c>
    </row>
    <row r="97" spans="1:25">
      <c r="A97" s="155"/>
      <c r="B97" s="139" t="s">
        <v>95</v>
      </c>
      <c r="C97" s="140"/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-0.125</v>
      </c>
      <c r="J97" s="177">
        <v>-0.25</v>
      </c>
      <c r="K97" s="183">
        <v>0</v>
      </c>
      <c r="O97" s="226"/>
      <c r="P97" s="207" t="s">
        <v>95</v>
      </c>
      <c r="Q97" s="208"/>
      <c r="R97" s="221">
        <v>0.75</v>
      </c>
      <c r="S97" s="221">
        <v>0.75</v>
      </c>
      <c r="T97" s="221">
        <v>0.75</v>
      </c>
      <c r="U97" s="221">
        <v>0.75</v>
      </c>
      <c r="V97" s="221">
        <v>0.875</v>
      </c>
      <c r="W97" s="221">
        <v>1</v>
      </c>
      <c r="X97" s="221">
        <v>1.125</v>
      </c>
      <c r="Y97" s="221"/>
    </row>
    <row r="98" spans="1:25">
      <c r="A98" s="130"/>
      <c r="B98" s="142" t="s">
        <v>96</v>
      </c>
      <c r="C98" s="143"/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-0.125</v>
      </c>
      <c r="K98" s="182">
        <v>0</v>
      </c>
      <c r="O98" s="198"/>
      <c r="P98" s="211" t="s">
        <v>96</v>
      </c>
      <c r="Q98" s="212"/>
      <c r="R98" s="188">
        <v>0.5</v>
      </c>
      <c r="S98" s="188">
        <v>0.5</v>
      </c>
      <c r="T98" s="188">
        <v>0.5</v>
      </c>
      <c r="U98" s="188">
        <v>0.5</v>
      </c>
      <c r="V98" s="188">
        <v>0.625</v>
      </c>
      <c r="W98" s="188">
        <v>0.625</v>
      </c>
      <c r="X98" s="188">
        <v>0.75</v>
      </c>
      <c r="Y98" s="188"/>
    </row>
    <row r="99" spans="1:25">
      <c r="A99" s="127" t="s">
        <v>138</v>
      </c>
      <c r="B99" s="142" t="s">
        <v>7</v>
      </c>
      <c r="C99" s="143"/>
      <c r="D99" s="178">
        <v>0.25</v>
      </c>
      <c r="E99" s="178">
        <v>0.25</v>
      </c>
      <c r="F99" s="178">
        <v>0.25</v>
      </c>
      <c r="G99" s="178">
        <v>0.25</v>
      </c>
      <c r="H99" s="178">
        <v>0.375</v>
      </c>
      <c r="I99" s="178">
        <v>0.375</v>
      </c>
      <c r="J99" s="178">
        <v>0.375</v>
      </c>
      <c r="K99" s="182">
        <v>0</v>
      </c>
      <c r="O99" s="194" t="s">
        <v>138</v>
      </c>
      <c r="P99" s="211" t="s">
        <v>7</v>
      </c>
      <c r="Q99" s="212"/>
      <c r="R99" s="178">
        <v>0</v>
      </c>
      <c r="S99" s="178">
        <v>0</v>
      </c>
      <c r="T99" s="178">
        <v>0</v>
      </c>
      <c r="U99" s="178">
        <v>0</v>
      </c>
      <c r="V99" s="178">
        <v>0</v>
      </c>
      <c r="W99" s="178">
        <v>0</v>
      </c>
      <c r="X99" s="178">
        <v>0</v>
      </c>
      <c r="Y99" s="178"/>
    </row>
    <row r="100" spans="1:25" ht="16.5">
      <c r="A100" s="127" t="s">
        <v>224</v>
      </c>
      <c r="B100" s="142" t="s">
        <v>9</v>
      </c>
      <c r="C100" s="143"/>
      <c r="D100" s="178">
        <v>0.25</v>
      </c>
      <c r="E100" s="178">
        <v>0.25</v>
      </c>
      <c r="F100" s="178">
        <v>0.25</v>
      </c>
      <c r="G100" s="178">
        <v>0.25</v>
      </c>
      <c r="H100" s="178">
        <v>0.5</v>
      </c>
      <c r="I100" s="178">
        <v>0.5</v>
      </c>
      <c r="J100" s="178">
        <v>0.5</v>
      </c>
      <c r="K100" s="182">
        <v>0</v>
      </c>
      <c r="O100" s="194" t="s">
        <v>224</v>
      </c>
      <c r="P100" s="211" t="s">
        <v>9</v>
      </c>
      <c r="Q100" s="212"/>
      <c r="R100" s="178">
        <v>-0.5</v>
      </c>
      <c r="S100" s="178">
        <v>-0.5</v>
      </c>
      <c r="T100" s="178">
        <v>-0.5</v>
      </c>
      <c r="U100" s="178">
        <v>-0.5</v>
      </c>
      <c r="V100" s="178">
        <v>-0.625</v>
      </c>
      <c r="W100" s="178">
        <v>-0.625</v>
      </c>
      <c r="X100" s="178">
        <v>-0.625</v>
      </c>
      <c r="Y100" s="178"/>
    </row>
    <row r="101" spans="1:25">
      <c r="A101" s="127" t="s">
        <v>225</v>
      </c>
      <c r="B101" s="142" t="s">
        <v>11</v>
      </c>
      <c r="C101" s="143"/>
      <c r="D101" s="178">
        <v>0.625</v>
      </c>
      <c r="E101" s="178">
        <v>0.625</v>
      </c>
      <c r="F101" s="178">
        <v>0.875</v>
      </c>
      <c r="G101" s="178">
        <v>0.875</v>
      </c>
      <c r="H101" s="178">
        <v>1.125</v>
      </c>
      <c r="I101" s="178">
        <v>1.125</v>
      </c>
      <c r="J101" s="178">
        <v>1.125</v>
      </c>
      <c r="K101" s="182">
        <v>0</v>
      </c>
      <c r="O101" s="194" t="s">
        <v>225</v>
      </c>
      <c r="P101" s="211" t="s">
        <v>11</v>
      </c>
      <c r="Q101" s="212"/>
      <c r="R101" s="178">
        <v>-1.25</v>
      </c>
      <c r="S101" s="178">
        <v>-1.25</v>
      </c>
      <c r="T101" s="178">
        <v>-1.5</v>
      </c>
      <c r="U101" s="178">
        <v>-1.5</v>
      </c>
      <c r="V101" s="178">
        <v>-1.7500000000000002</v>
      </c>
      <c r="W101" s="178">
        <v>-1.7500000000000002</v>
      </c>
      <c r="X101" s="178">
        <v>-1.7500000000000002</v>
      </c>
      <c r="Y101" s="178"/>
    </row>
    <row r="102" spans="1:25">
      <c r="A102" s="156"/>
      <c r="B102" s="144" t="s">
        <v>97</v>
      </c>
      <c r="C102" s="145"/>
      <c r="D102" s="189">
        <v>0.75</v>
      </c>
      <c r="E102" s="189">
        <v>0.75</v>
      </c>
      <c r="F102" s="189">
        <v>1</v>
      </c>
      <c r="G102" s="189">
        <v>1</v>
      </c>
      <c r="H102" s="189">
        <v>1.25</v>
      </c>
      <c r="I102" s="189">
        <v>1.25</v>
      </c>
      <c r="J102" s="189">
        <v>1.25</v>
      </c>
      <c r="K102" s="181">
        <v>0</v>
      </c>
      <c r="O102" s="227"/>
      <c r="P102" s="214" t="s">
        <v>97</v>
      </c>
      <c r="Q102" s="215"/>
      <c r="R102" s="179">
        <v>-1.7500000000000002</v>
      </c>
      <c r="S102" s="179">
        <v>-1.7500000000000002</v>
      </c>
      <c r="T102" s="179">
        <v>-2</v>
      </c>
      <c r="U102" s="179">
        <v>-2</v>
      </c>
      <c r="V102" s="179">
        <v>-2.25</v>
      </c>
      <c r="W102" s="179">
        <v>-2.25</v>
      </c>
      <c r="X102" s="179">
        <v>-2.25</v>
      </c>
      <c r="Y102" s="179"/>
    </row>
    <row r="103" spans="1:25">
      <c r="A103" s="164" t="s">
        <v>68</v>
      </c>
      <c r="B103" s="165" t="s">
        <v>69</v>
      </c>
      <c r="C103" s="166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7">
        <v>0</v>
      </c>
      <c r="O103" s="236" t="s">
        <v>68</v>
      </c>
      <c r="P103" s="237" t="s">
        <v>69</v>
      </c>
      <c r="Q103" s="238"/>
      <c r="R103" s="180">
        <v>-0.25</v>
      </c>
      <c r="S103" s="180">
        <v>-0.25</v>
      </c>
      <c r="T103" s="180">
        <v>-0.25</v>
      </c>
      <c r="U103" s="180">
        <v>-0.25</v>
      </c>
      <c r="V103" s="180">
        <v>-0.25</v>
      </c>
      <c r="W103" s="180">
        <v>-0.25</v>
      </c>
      <c r="X103" s="180">
        <v>-0.25</v>
      </c>
      <c r="Y103" s="187"/>
    </row>
    <row r="104" spans="1:25">
      <c r="O104" s="239"/>
      <c r="P104" s="239"/>
      <c r="Q104" s="239"/>
      <c r="R104" s="239"/>
      <c r="S104" s="239"/>
      <c r="T104" s="239"/>
      <c r="U104" s="239"/>
      <c r="V104" s="239"/>
      <c r="W104" s="239"/>
      <c r="X104" s="240"/>
      <c r="Y104" s="29"/>
    </row>
    <row r="105" spans="1:25">
      <c r="O105" s="241" t="s">
        <v>226</v>
      </c>
      <c r="P105" s="242"/>
      <c r="Q105" s="243"/>
      <c r="R105" s="244" t="s">
        <v>99</v>
      </c>
      <c r="S105" s="245"/>
      <c r="T105" s="245"/>
      <c r="U105" s="245"/>
      <c r="V105" s="244" t="s">
        <v>227</v>
      </c>
      <c r="W105" s="245"/>
      <c r="X105" s="193"/>
      <c r="Y105" s="29"/>
    </row>
    <row r="106" spans="1:25">
      <c r="O106" s="246" t="s">
        <v>205</v>
      </c>
      <c r="P106" s="247" t="s">
        <v>107</v>
      </c>
      <c r="Q106" s="248">
        <v>0</v>
      </c>
      <c r="R106" s="249" t="s">
        <v>100</v>
      </c>
      <c r="S106" s="250" t="s">
        <v>101</v>
      </c>
      <c r="T106" s="250"/>
      <c r="U106" s="250"/>
      <c r="V106" s="249" t="s">
        <v>228</v>
      </c>
      <c r="W106" s="250" t="s">
        <v>72</v>
      </c>
      <c r="X106" s="251"/>
      <c r="Y106" s="29"/>
    </row>
    <row r="107" spans="1:25">
      <c r="O107" s="246"/>
      <c r="P107" s="247" t="s">
        <v>108</v>
      </c>
      <c r="Q107" s="248">
        <v>-0.375</v>
      </c>
      <c r="R107" s="249" t="s">
        <v>102</v>
      </c>
      <c r="S107" s="252">
        <v>6.5</v>
      </c>
      <c r="T107" s="252"/>
      <c r="U107" s="252"/>
      <c r="V107" s="249" t="s">
        <v>229</v>
      </c>
      <c r="W107" s="252">
        <v>24</v>
      </c>
      <c r="X107" s="253"/>
      <c r="Y107" s="29"/>
    </row>
    <row r="108" spans="1:25">
      <c r="O108" s="254"/>
      <c r="P108" s="255" t="s">
        <v>230</v>
      </c>
      <c r="Q108" s="256">
        <v>-0.75</v>
      </c>
      <c r="R108" s="249" t="s">
        <v>231</v>
      </c>
      <c r="S108" s="250" t="s">
        <v>103</v>
      </c>
      <c r="T108" s="250"/>
      <c r="U108" s="250"/>
      <c r="V108" s="249" t="s">
        <v>232</v>
      </c>
      <c r="W108" s="250">
        <v>600</v>
      </c>
      <c r="X108" s="251"/>
      <c r="Y108" s="29"/>
    </row>
    <row r="109" spans="1:25">
      <c r="O109" s="257" t="s">
        <v>233</v>
      </c>
      <c r="P109" s="258" t="s">
        <v>234</v>
      </c>
      <c r="Q109" s="184">
        <v>-0.125</v>
      </c>
      <c r="R109" s="249" t="s">
        <v>154</v>
      </c>
      <c r="S109" s="252" t="s">
        <v>235</v>
      </c>
      <c r="T109" s="252"/>
      <c r="U109" s="252"/>
      <c r="V109" s="249" t="s">
        <v>236</v>
      </c>
      <c r="W109" s="259">
        <v>80</v>
      </c>
      <c r="X109" s="260"/>
      <c r="Y109" s="29"/>
    </row>
    <row r="110" spans="1:25" ht="15.75" thickBot="1">
      <c r="O110" s="261" t="s">
        <v>237</v>
      </c>
      <c r="P110" s="262"/>
      <c r="Q110" s="263"/>
      <c r="R110" s="249" t="s">
        <v>104</v>
      </c>
      <c r="S110" s="250" t="s">
        <v>105</v>
      </c>
      <c r="T110" s="250"/>
      <c r="U110" s="250"/>
      <c r="V110" s="264"/>
      <c r="W110" s="265"/>
      <c r="X110" s="266"/>
      <c r="Y110" s="29"/>
    </row>
    <row r="111" spans="1:25" ht="15.75" thickTop="1">
      <c r="O111" s="29"/>
      <c r="P111" s="29"/>
      <c r="Q111" s="241" t="s">
        <v>198</v>
      </c>
      <c r="R111" s="245"/>
      <c r="S111" s="245" t="s">
        <v>238</v>
      </c>
      <c r="T111" s="245" t="s">
        <v>239</v>
      </c>
      <c r="U111" s="170" t="s">
        <v>240</v>
      </c>
      <c r="V111" s="267"/>
      <c r="W111" s="29"/>
      <c r="X111" s="29"/>
      <c r="Y111" s="29"/>
    </row>
    <row r="112" spans="1:25">
      <c r="O112" s="29"/>
      <c r="P112" s="29"/>
      <c r="Q112" s="249" t="s">
        <v>241</v>
      </c>
      <c r="R112" s="268"/>
      <c r="S112" s="269">
        <v>360</v>
      </c>
      <c r="T112" s="269">
        <v>360</v>
      </c>
      <c r="U112" s="270" t="s">
        <v>14</v>
      </c>
      <c r="V112" s="29"/>
      <c r="W112" s="29"/>
      <c r="X112" s="29"/>
      <c r="Y112" s="29"/>
    </row>
    <row r="113" spans="1:49">
      <c r="O113" s="29"/>
      <c r="P113" s="29"/>
      <c r="Q113" s="249" t="s">
        <v>242</v>
      </c>
      <c r="R113" s="268"/>
      <c r="S113" s="269">
        <v>240</v>
      </c>
      <c r="T113" s="269">
        <v>360</v>
      </c>
      <c r="U113" s="270">
        <v>120</v>
      </c>
      <c r="V113" s="29"/>
      <c r="W113" s="29"/>
      <c r="X113" s="29"/>
      <c r="Y113" s="29"/>
    </row>
    <row r="114" spans="1:49">
      <c r="O114" s="29"/>
      <c r="P114" s="29"/>
      <c r="Q114" s="249" t="s">
        <v>243</v>
      </c>
      <c r="R114" s="268"/>
      <c r="S114" s="269">
        <v>360</v>
      </c>
      <c r="T114" s="269">
        <v>480</v>
      </c>
      <c r="U114" s="270">
        <v>120</v>
      </c>
      <c r="V114" s="29"/>
      <c r="W114" s="29"/>
      <c r="X114" s="29"/>
      <c r="Y114" s="29"/>
    </row>
    <row r="115" spans="1:49">
      <c r="O115" s="29"/>
      <c r="P115" s="29"/>
      <c r="Q115" s="249" t="s">
        <v>244</v>
      </c>
      <c r="R115" s="268"/>
      <c r="S115" s="269">
        <v>180</v>
      </c>
      <c r="T115" s="269">
        <v>180</v>
      </c>
      <c r="U115" s="270" t="s">
        <v>14</v>
      </c>
      <c r="V115" s="29"/>
      <c r="W115" s="29"/>
      <c r="X115" s="29"/>
      <c r="Y115" s="29"/>
    </row>
    <row r="116" spans="1:49">
      <c r="O116" s="29"/>
      <c r="P116" s="29"/>
      <c r="Q116" s="249" t="s">
        <v>245</v>
      </c>
      <c r="R116" s="268"/>
      <c r="S116" s="269">
        <v>360</v>
      </c>
      <c r="T116" s="269">
        <v>360</v>
      </c>
      <c r="U116" s="270" t="s">
        <v>14</v>
      </c>
      <c r="V116" s="29"/>
      <c r="W116" s="29"/>
      <c r="X116" s="29"/>
      <c r="Y116" s="29"/>
    </row>
    <row r="117" spans="1:49">
      <c r="O117" s="29"/>
      <c r="P117" s="29"/>
      <c r="Q117" s="249" t="s">
        <v>246</v>
      </c>
      <c r="R117" s="268"/>
      <c r="S117" s="269">
        <v>240</v>
      </c>
      <c r="T117" s="269">
        <v>360</v>
      </c>
      <c r="U117" s="270">
        <v>120</v>
      </c>
      <c r="V117" s="29"/>
      <c r="W117" s="29"/>
      <c r="X117" s="29"/>
      <c r="Y117" s="29"/>
    </row>
    <row r="118" spans="1:49">
      <c r="O118" s="29"/>
      <c r="P118" s="29"/>
      <c r="Q118" s="249" t="s">
        <v>247</v>
      </c>
      <c r="R118" s="268"/>
      <c r="S118" s="269">
        <v>360</v>
      </c>
      <c r="T118" s="269">
        <v>480</v>
      </c>
      <c r="U118" s="270">
        <v>120</v>
      </c>
      <c r="V118" s="29"/>
      <c r="W118" s="29"/>
      <c r="X118" s="29"/>
      <c r="Y118" s="29"/>
    </row>
    <row r="119" spans="1:49">
      <c r="O119" s="29"/>
      <c r="P119" s="29"/>
      <c r="Q119" s="271" t="s">
        <v>248</v>
      </c>
      <c r="R119" s="272"/>
      <c r="S119" s="273">
        <v>480</v>
      </c>
      <c r="T119" s="273">
        <v>480</v>
      </c>
      <c r="U119" s="274" t="s">
        <v>14</v>
      </c>
      <c r="V119" s="29"/>
      <c r="W119" s="29"/>
      <c r="X119" s="29"/>
      <c r="Y119" s="29"/>
    </row>
    <row r="120" spans="1:49">
      <c r="O120" s="29"/>
      <c r="P120" s="29"/>
      <c r="Q120" s="275" t="s">
        <v>249</v>
      </c>
      <c r="R120" s="276"/>
      <c r="S120" s="276"/>
      <c r="T120" s="276"/>
      <c r="U120" s="277"/>
      <c r="V120" s="29"/>
      <c r="W120" s="29"/>
      <c r="X120" s="29"/>
      <c r="Y120" s="29"/>
    </row>
    <row r="121" spans="1:49" ht="15.75" thickBot="1">
      <c r="O121" s="29"/>
      <c r="P121" s="29"/>
      <c r="Q121" s="278" t="s">
        <v>250</v>
      </c>
      <c r="R121" s="279"/>
      <c r="S121" s="279"/>
      <c r="T121" s="279"/>
      <c r="U121" s="280"/>
      <c r="V121" s="29"/>
      <c r="W121" s="29"/>
      <c r="X121" s="29"/>
      <c r="Y121" s="29"/>
    </row>
    <row r="122" spans="1:49" ht="15.75" thickTop="1"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49"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49"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49"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49">
      <c r="A126" t="s">
        <v>318</v>
      </c>
      <c r="D126" t="s">
        <v>663</v>
      </c>
      <c r="N126" t="s">
        <v>319</v>
      </c>
      <c r="R126" t="s">
        <v>35</v>
      </c>
      <c r="U126" t="s">
        <v>320</v>
      </c>
      <c r="X126" t="s">
        <v>345</v>
      </c>
      <c r="AA126" t="s">
        <v>346</v>
      </c>
      <c r="AG126" t="s">
        <v>356</v>
      </c>
      <c r="AK126" t="s">
        <v>366</v>
      </c>
      <c r="AO126" t="s">
        <v>430</v>
      </c>
      <c r="AT126" t="s">
        <v>481</v>
      </c>
      <c r="AW126" t="s">
        <v>477</v>
      </c>
    </row>
    <row r="128" spans="1:49">
      <c r="A128" t="s">
        <v>191</v>
      </c>
      <c r="D128" t="s">
        <v>191</v>
      </c>
      <c r="N128" t="s">
        <v>191</v>
      </c>
      <c r="R128" t="s">
        <v>191</v>
      </c>
      <c r="U128" t="s">
        <v>191</v>
      </c>
      <c r="X128" t="s">
        <v>191</v>
      </c>
      <c r="AA128" t="s">
        <v>191</v>
      </c>
      <c r="AG128" t="s">
        <v>191</v>
      </c>
      <c r="AK128" t="s">
        <v>191</v>
      </c>
      <c r="AO128" t="s">
        <v>191</v>
      </c>
      <c r="AT128" t="s">
        <v>191</v>
      </c>
      <c r="AW128" t="s">
        <v>191</v>
      </c>
    </row>
    <row r="129" spans="1:49">
      <c r="A129" t="s">
        <v>192</v>
      </c>
      <c r="D129" t="s">
        <v>644</v>
      </c>
      <c r="N129" t="s">
        <v>190</v>
      </c>
      <c r="R129" t="s">
        <v>453</v>
      </c>
      <c r="U129" t="s">
        <v>111</v>
      </c>
      <c r="X129" t="s">
        <v>4</v>
      </c>
      <c r="AA129" t="s">
        <v>307</v>
      </c>
      <c r="AG129" t="s">
        <v>357</v>
      </c>
      <c r="AK129" t="s">
        <v>463</v>
      </c>
      <c r="AO129" t="s">
        <v>72</v>
      </c>
      <c r="AT129" t="s">
        <v>482</v>
      </c>
      <c r="AW129" t="s">
        <v>625</v>
      </c>
    </row>
    <row r="130" spans="1:49">
      <c r="A130" t="s">
        <v>193</v>
      </c>
      <c r="D130" t="s">
        <v>645</v>
      </c>
      <c r="R130" t="s">
        <v>126</v>
      </c>
      <c r="U130" t="s">
        <v>24</v>
      </c>
      <c r="AA130" t="s">
        <v>306</v>
      </c>
      <c r="AG130" t="s">
        <v>358</v>
      </c>
      <c r="AO130" t="s">
        <v>728</v>
      </c>
      <c r="AT130" t="s">
        <v>483</v>
      </c>
      <c r="AW130" t="s">
        <v>626</v>
      </c>
    </row>
    <row r="131" spans="1:49">
      <c r="A131" t="s">
        <v>91</v>
      </c>
      <c r="N131" t="s">
        <v>191</v>
      </c>
      <c r="R131" t="s">
        <v>48</v>
      </c>
      <c r="U131" t="s">
        <v>25</v>
      </c>
      <c r="X131" t="s">
        <v>191</v>
      </c>
      <c r="AT131" t="s">
        <v>484</v>
      </c>
      <c r="AW131" t="s">
        <v>550</v>
      </c>
    </row>
    <row r="132" spans="1:49">
      <c r="D132" t="s">
        <v>191</v>
      </c>
      <c r="N132" t="s">
        <v>312</v>
      </c>
      <c r="R132" t="s">
        <v>49</v>
      </c>
      <c r="U132" t="s">
        <v>26</v>
      </c>
      <c r="X132" t="s">
        <v>296</v>
      </c>
      <c r="AA132" t="s">
        <v>191</v>
      </c>
      <c r="AG132" t="s">
        <v>191</v>
      </c>
      <c r="AK132" t="s">
        <v>191</v>
      </c>
      <c r="AO132" t="s">
        <v>191</v>
      </c>
      <c r="AT132" t="s">
        <v>32</v>
      </c>
    </row>
    <row r="133" spans="1:49">
      <c r="D133" t="s">
        <v>112</v>
      </c>
      <c r="R133" t="s">
        <v>50</v>
      </c>
      <c r="X133">
        <v>1099</v>
      </c>
      <c r="AA133" t="s">
        <v>745</v>
      </c>
      <c r="AG133" t="s">
        <v>283</v>
      </c>
      <c r="AK133" t="s">
        <v>63</v>
      </c>
      <c r="AO133" t="s">
        <v>124</v>
      </c>
      <c r="AW133" t="s">
        <v>191</v>
      </c>
    </row>
    <row r="134" spans="1:49">
      <c r="A134" t="s">
        <v>191</v>
      </c>
      <c r="D134" t="s">
        <v>113</v>
      </c>
      <c r="N134" t="s">
        <v>191</v>
      </c>
      <c r="R134" t="s">
        <v>51</v>
      </c>
      <c r="U134" t="s">
        <v>191</v>
      </c>
      <c r="X134" t="s">
        <v>191</v>
      </c>
      <c r="AG134" t="s">
        <v>282</v>
      </c>
      <c r="AK134" t="s">
        <v>64</v>
      </c>
      <c r="AO134" t="s">
        <v>78</v>
      </c>
      <c r="AT134" t="s">
        <v>191</v>
      </c>
      <c r="AW134" t="s">
        <v>545</v>
      </c>
    </row>
    <row r="135" spans="1:49">
      <c r="A135" t="s">
        <v>73</v>
      </c>
      <c r="N135" t="s">
        <v>38</v>
      </c>
      <c r="R135" t="s">
        <v>52</v>
      </c>
      <c r="U135" t="s">
        <v>72</v>
      </c>
      <c r="X135" t="s">
        <v>286</v>
      </c>
      <c r="AA135" t="s">
        <v>191</v>
      </c>
      <c r="AG135" t="s">
        <v>281</v>
      </c>
      <c r="AT135" t="s">
        <v>37</v>
      </c>
      <c r="AW135" t="s">
        <v>546</v>
      </c>
    </row>
    <row r="136" spans="1:49">
      <c r="D136" t="s">
        <v>191</v>
      </c>
      <c r="N136" t="s">
        <v>39</v>
      </c>
      <c r="R136" t="s">
        <v>53</v>
      </c>
      <c r="X136" t="s">
        <v>285</v>
      </c>
      <c r="AA136" t="s">
        <v>109</v>
      </c>
      <c r="AG136" t="s">
        <v>363</v>
      </c>
      <c r="AO136" t="s">
        <v>191</v>
      </c>
      <c r="AT136" t="s">
        <v>293</v>
      </c>
      <c r="AW136" t="s">
        <v>547</v>
      </c>
    </row>
    <row r="137" spans="1:49">
      <c r="A137" t="s">
        <v>191</v>
      </c>
      <c r="D137" t="s">
        <v>453</v>
      </c>
      <c r="N137" t="s">
        <v>88</v>
      </c>
      <c r="R137" t="s">
        <v>54</v>
      </c>
      <c r="U137" t="s">
        <v>191</v>
      </c>
      <c r="X137" t="s">
        <v>284</v>
      </c>
      <c r="AG137" t="s">
        <v>280</v>
      </c>
      <c r="AK137" t="s">
        <v>191</v>
      </c>
      <c r="AO137" t="s">
        <v>427</v>
      </c>
      <c r="AT137" t="s">
        <v>292</v>
      </c>
      <c r="AW137" t="s">
        <v>548</v>
      </c>
    </row>
    <row r="138" spans="1:49">
      <c r="A138" t="s">
        <v>603</v>
      </c>
      <c r="D138" t="s">
        <v>126</v>
      </c>
      <c r="R138" t="s">
        <v>55</v>
      </c>
      <c r="U138" t="s">
        <v>78</v>
      </c>
      <c r="AA138" t="s">
        <v>191</v>
      </c>
      <c r="AK138" t="s">
        <v>134</v>
      </c>
      <c r="AO138" t="s">
        <v>127</v>
      </c>
      <c r="AT138" t="s">
        <v>291</v>
      </c>
    </row>
    <row r="139" spans="1:49">
      <c r="A139" t="s">
        <v>602</v>
      </c>
      <c r="D139" t="s">
        <v>219</v>
      </c>
      <c r="N139" t="s">
        <v>191</v>
      </c>
      <c r="AA139" t="s">
        <v>748</v>
      </c>
      <c r="AG139" t="s">
        <v>191</v>
      </c>
      <c r="AO139" t="s">
        <v>128</v>
      </c>
      <c r="AT139" t="s">
        <v>290</v>
      </c>
      <c r="AW139" t="s">
        <v>191</v>
      </c>
    </row>
    <row r="140" spans="1:49">
      <c r="D140" t="s">
        <v>220</v>
      </c>
      <c r="N140" t="s">
        <v>43</v>
      </c>
      <c r="R140" t="s">
        <v>191</v>
      </c>
      <c r="U140" t="s">
        <v>191</v>
      </c>
      <c r="X140" t="s">
        <v>191</v>
      </c>
      <c r="AA140" t="s">
        <v>749</v>
      </c>
      <c r="AD140" t="s">
        <v>191</v>
      </c>
      <c r="AG140" t="s">
        <v>657</v>
      </c>
      <c r="AO140" t="s">
        <v>129</v>
      </c>
      <c r="AT140" t="s">
        <v>289</v>
      </c>
      <c r="AW140" t="s">
        <v>551</v>
      </c>
    </row>
    <row r="141" spans="1:49">
      <c r="D141" t="s">
        <v>50</v>
      </c>
      <c r="N141" t="s">
        <v>44</v>
      </c>
      <c r="R141" t="s">
        <v>46</v>
      </c>
      <c r="U141" t="s">
        <v>158</v>
      </c>
      <c r="X141" t="s">
        <v>426</v>
      </c>
      <c r="AA141" t="s">
        <v>750</v>
      </c>
      <c r="AD141" t="s">
        <v>355</v>
      </c>
      <c r="AG141" t="s">
        <v>379</v>
      </c>
      <c r="AO141" t="s">
        <v>130</v>
      </c>
      <c r="AW141" t="s">
        <v>269</v>
      </c>
    </row>
    <row r="142" spans="1:49">
      <c r="A142" t="s">
        <v>191</v>
      </c>
      <c r="N142" t="s">
        <v>88</v>
      </c>
      <c r="R142" t="s">
        <v>684</v>
      </c>
      <c r="X142" t="s">
        <v>278</v>
      </c>
      <c r="AA142" t="s">
        <v>751</v>
      </c>
      <c r="AD142" t="s">
        <v>70</v>
      </c>
      <c r="AG142" t="s">
        <v>380</v>
      </c>
      <c r="AO142" t="s">
        <v>131</v>
      </c>
      <c r="AT142" t="s">
        <v>191</v>
      </c>
    </row>
    <row r="143" spans="1:49">
      <c r="A143" t="s">
        <v>462</v>
      </c>
      <c r="D143" t="s">
        <v>191</v>
      </c>
      <c r="U143" t="s">
        <v>191</v>
      </c>
      <c r="X143" t="s">
        <v>277</v>
      </c>
      <c r="AG143" t="s">
        <v>381</v>
      </c>
      <c r="AO143" t="s">
        <v>436</v>
      </c>
      <c r="AT143">
        <v>24</v>
      </c>
      <c r="AW143" t="s">
        <v>191</v>
      </c>
    </row>
    <row r="144" spans="1:49">
      <c r="A144" t="s">
        <v>461</v>
      </c>
      <c r="D144" t="s">
        <v>59</v>
      </c>
      <c r="N144" t="s">
        <v>191</v>
      </c>
      <c r="R144" t="s">
        <v>191</v>
      </c>
      <c r="U144" t="s">
        <v>159</v>
      </c>
      <c r="X144" t="s">
        <v>276</v>
      </c>
      <c r="AA144" t="s">
        <v>191</v>
      </c>
      <c r="AG144" t="s">
        <v>382</v>
      </c>
      <c r="AT144">
        <v>36</v>
      </c>
      <c r="AW144" t="s">
        <v>627</v>
      </c>
    </row>
    <row r="145" spans="1:53">
      <c r="A145" t="s">
        <v>667</v>
      </c>
      <c r="N145" t="s">
        <v>46</v>
      </c>
      <c r="R145" t="s">
        <v>72</v>
      </c>
      <c r="X145" t="s">
        <v>275</v>
      </c>
      <c r="AA145" t="s">
        <v>753</v>
      </c>
      <c r="AO145" t="s">
        <v>191</v>
      </c>
      <c r="AT145">
        <v>60</v>
      </c>
    </row>
    <row r="146" spans="1:53">
      <c r="D146" t="s">
        <v>191</v>
      </c>
      <c r="R146" t="s">
        <v>73</v>
      </c>
      <c r="U146" t="s">
        <v>191</v>
      </c>
      <c r="X146" t="s">
        <v>274</v>
      </c>
      <c r="AA146" t="s">
        <v>754</v>
      </c>
      <c r="AG146" t="s">
        <v>191</v>
      </c>
      <c r="AO146" t="s">
        <v>467</v>
      </c>
      <c r="AW146" t="s">
        <v>191</v>
      </c>
    </row>
    <row r="147" spans="1:53">
      <c r="A147" t="s">
        <v>191</v>
      </c>
      <c r="D147" t="s">
        <v>63</v>
      </c>
      <c r="R147" t="s">
        <v>74</v>
      </c>
      <c r="U147" t="s">
        <v>427</v>
      </c>
      <c r="X147" t="s">
        <v>273</v>
      </c>
      <c r="AA147" t="s">
        <v>755</v>
      </c>
      <c r="AG147" t="s">
        <v>374</v>
      </c>
      <c r="AT147" t="s">
        <v>191</v>
      </c>
      <c r="AW147" t="s">
        <v>659</v>
      </c>
    </row>
    <row r="148" spans="1:53">
      <c r="A148" t="s">
        <v>63</v>
      </c>
      <c r="D148" t="s">
        <v>182</v>
      </c>
      <c r="N148" t="s">
        <v>191</v>
      </c>
      <c r="U148" t="s">
        <v>127</v>
      </c>
      <c r="X148" t="s">
        <v>515</v>
      </c>
      <c r="AA148" t="s">
        <v>756</v>
      </c>
      <c r="AG148" t="s">
        <v>375</v>
      </c>
      <c r="AT148" t="s">
        <v>378</v>
      </c>
      <c r="BA148" t="s">
        <v>137</v>
      </c>
    </row>
    <row r="149" spans="1:53">
      <c r="A149" t="s">
        <v>182</v>
      </c>
      <c r="D149" t="s">
        <v>64</v>
      </c>
      <c r="N149" t="s">
        <v>48</v>
      </c>
      <c r="R149" t="s">
        <v>191</v>
      </c>
      <c r="U149" t="s">
        <v>128</v>
      </c>
      <c r="X149" t="s">
        <v>668</v>
      </c>
      <c r="AA149" t="s">
        <v>757</v>
      </c>
      <c r="AG149" t="s">
        <v>376</v>
      </c>
      <c r="AO149" t="s">
        <v>191</v>
      </c>
      <c r="AT149" t="s">
        <v>487</v>
      </c>
      <c r="AW149" t="s">
        <v>191</v>
      </c>
      <c r="BA149" t="s">
        <v>552</v>
      </c>
    </row>
    <row r="150" spans="1:53">
      <c r="A150" t="s">
        <v>251</v>
      </c>
      <c r="N150" t="s">
        <v>49</v>
      </c>
      <c r="R150" t="s">
        <v>76</v>
      </c>
      <c r="U150" t="s">
        <v>129</v>
      </c>
      <c r="AO150" t="s">
        <v>136</v>
      </c>
      <c r="AT150" t="s">
        <v>488</v>
      </c>
      <c r="AW150" t="s">
        <v>747</v>
      </c>
    </row>
    <row r="151" spans="1:53">
      <c r="A151" t="s">
        <v>64</v>
      </c>
      <c r="D151" t="s">
        <v>191</v>
      </c>
      <c r="N151" t="s">
        <v>50</v>
      </c>
      <c r="R151" t="s">
        <v>78</v>
      </c>
      <c r="U151" t="s">
        <v>130</v>
      </c>
      <c r="X151" t="s">
        <v>191</v>
      </c>
      <c r="AA151" t="s">
        <v>191</v>
      </c>
      <c r="AG151" t="s">
        <v>191</v>
      </c>
      <c r="AT151" t="s">
        <v>382</v>
      </c>
      <c r="AW151" t="s">
        <v>549</v>
      </c>
    </row>
    <row r="152" spans="1:53">
      <c r="D152" t="s">
        <v>135</v>
      </c>
      <c r="N152" t="s">
        <v>51</v>
      </c>
      <c r="R152" t="s">
        <v>79</v>
      </c>
      <c r="U152" t="s">
        <v>131</v>
      </c>
      <c r="X152" t="s">
        <v>272</v>
      </c>
      <c r="AA152" t="s">
        <v>607</v>
      </c>
      <c r="AG152" t="s">
        <v>260</v>
      </c>
      <c r="AO152" t="s">
        <v>191</v>
      </c>
      <c r="BA152" t="s">
        <v>441</v>
      </c>
    </row>
    <row r="153" spans="1:53">
      <c r="A153" t="s">
        <v>191</v>
      </c>
      <c r="N153" t="s">
        <v>52</v>
      </c>
      <c r="U153" t="s">
        <v>132</v>
      </c>
      <c r="X153" t="s">
        <v>271</v>
      </c>
      <c r="AG153" t="s">
        <v>348</v>
      </c>
      <c r="AO153" t="s">
        <v>95</v>
      </c>
      <c r="AT153" t="s">
        <v>191</v>
      </c>
      <c r="AW153" t="s">
        <v>191</v>
      </c>
      <c r="BA153" t="s">
        <v>553</v>
      </c>
    </row>
    <row r="154" spans="1:53">
      <c r="A154" t="s">
        <v>134</v>
      </c>
      <c r="D154" t="s">
        <v>191</v>
      </c>
      <c r="R154" t="s">
        <v>191</v>
      </c>
      <c r="AA154" t="s">
        <v>191</v>
      </c>
      <c r="AG154" t="s">
        <v>191</v>
      </c>
      <c r="AO154" t="s">
        <v>96</v>
      </c>
      <c r="AT154" t="s">
        <v>486</v>
      </c>
      <c r="AW154" t="s">
        <v>664</v>
      </c>
    </row>
    <row r="155" spans="1:53">
      <c r="D155" t="s">
        <v>136</v>
      </c>
      <c r="N155" t="s">
        <v>191</v>
      </c>
      <c r="R155" t="s">
        <v>57</v>
      </c>
      <c r="U155" t="s">
        <v>191</v>
      </c>
      <c r="X155" t="s">
        <v>191</v>
      </c>
      <c r="AA155" t="s">
        <v>426</v>
      </c>
      <c r="AG155" t="s">
        <v>69</v>
      </c>
      <c r="AO155" t="s">
        <v>7</v>
      </c>
      <c r="AW155" t="s">
        <v>665</v>
      </c>
    </row>
    <row r="156" spans="1:53">
      <c r="A156" t="s">
        <v>191</v>
      </c>
      <c r="N156" t="s">
        <v>57</v>
      </c>
      <c r="R156" t="s">
        <v>58</v>
      </c>
      <c r="U156" t="s">
        <v>558</v>
      </c>
      <c r="X156" t="s">
        <v>57</v>
      </c>
      <c r="AA156" t="s">
        <v>278</v>
      </c>
      <c r="AO156" t="s">
        <v>9</v>
      </c>
      <c r="AT156" t="s">
        <v>191</v>
      </c>
    </row>
    <row r="157" spans="1:53">
      <c r="A157" t="s">
        <v>135</v>
      </c>
      <c r="D157" t="s">
        <v>191</v>
      </c>
      <c r="N157" t="s">
        <v>58</v>
      </c>
      <c r="R157" t="s">
        <v>59</v>
      </c>
      <c r="X157" t="s">
        <v>270</v>
      </c>
      <c r="AA157" t="s">
        <v>277</v>
      </c>
      <c r="AG157" t="s">
        <v>191</v>
      </c>
      <c r="AO157" t="s">
        <v>11</v>
      </c>
      <c r="AT157" t="s">
        <v>508</v>
      </c>
      <c r="AW157" t="s">
        <v>191</v>
      </c>
    </row>
    <row r="158" spans="1:53">
      <c r="D158" t="s">
        <v>95</v>
      </c>
      <c r="N158" t="s">
        <v>59</v>
      </c>
      <c r="X158" t="s">
        <v>269</v>
      </c>
      <c r="AA158" t="s">
        <v>276</v>
      </c>
      <c r="AG158" t="s">
        <v>134</v>
      </c>
      <c r="AO158" t="s">
        <v>97</v>
      </c>
      <c r="AW158" t="s">
        <v>95</v>
      </c>
    </row>
    <row r="159" spans="1:53">
      <c r="A159" t="s">
        <v>191</v>
      </c>
      <c r="D159" t="s">
        <v>96</v>
      </c>
      <c r="R159" t="s">
        <v>191</v>
      </c>
      <c r="U159" t="s">
        <v>191</v>
      </c>
      <c r="AA159" t="s">
        <v>275</v>
      </c>
      <c r="AT159" t="s">
        <v>191</v>
      </c>
      <c r="AW159" t="s">
        <v>96</v>
      </c>
    </row>
    <row r="160" spans="1:53">
      <c r="A160" t="s">
        <v>136</v>
      </c>
      <c r="D160" t="s">
        <v>7</v>
      </c>
      <c r="N160" t="s">
        <v>191</v>
      </c>
      <c r="R160" t="s">
        <v>63</v>
      </c>
      <c r="U160" t="s">
        <v>134</v>
      </c>
      <c r="X160" t="s">
        <v>191</v>
      </c>
      <c r="AA160" t="s">
        <v>274</v>
      </c>
      <c r="AG160" t="s">
        <v>191</v>
      </c>
      <c r="AO160" t="s">
        <v>191</v>
      </c>
      <c r="AT160" t="s">
        <v>509</v>
      </c>
      <c r="AW160" t="s">
        <v>7</v>
      </c>
    </row>
    <row r="161" spans="1:49">
      <c r="D161" t="s">
        <v>9</v>
      </c>
      <c r="N161" t="s">
        <v>29</v>
      </c>
      <c r="R161" t="s">
        <v>182</v>
      </c>
      <c r="X161" t="s">
        <v>268</v>
      </c>
      <c r="AA161" t="s">
        <v>273</v>
      </c>
      <c r="AG161" t="s">
        <v>29</v>
      </c>
      <c r="AO161" t="s">
        <v>183</v>
      </c>
      <c r="AW161" t="s">
        <v>9</v>
      </c>
    </row>
    <row r="162" spans="1:49">
      <c r="A162" t="s">
        <v>191</v>
      </c>
      <c r="D162" t="s">
        <v>11</v>
      </c>
      <c r="N162" t="s">
        <v>61</v>
      </c>
      <c r="R162" t="s">
        <v>64</v>
      </c>
      <c r="X162" t="s">
        <v>267</v>
      </c>
      <c r="AA162" t="s">
        <v>515</v>
      </c>
      <c r="AG162" t="s">
        <v>61</v>
      </c>
      <c r="AO162" t="s">
        <v>184</v>
      </c>
      <c r="AT162" t="s">
        <v>191</v>
      </c>
      <c r="AW162" t="s">
        <v>11</v>
      </c>
    </row>
    <row r="163" spans="1:49">
      <c r="A163" t="s">
        <v>95</v>
      </c>
      <c r="D163" t="s">
        <v>97</v>
      </c>
      <c r="AA163" t="s">
        <v>668</v>
      </c>
      <c r="AO163" t="s">
        <v>185</v>
      </c>
      <c r="AT163" t="s">
        <v>507</v>
      </c>
      <c r="AW163" t="s">
        <v>97</v>
      </c>
    </row>
    <row r="164" spans="1:49">
      <c r="A164" t="s">
        <v>96</v>
      </c>
      <c r="N164" t="s">
        <v>191</v>
      </c>
      <c r="R164" t="s">
        <v>191</v>
      </c>
      <c r="X164" t="s">
        <v>191</v>
      </c>
      <c r="AG164" t="s">
        <v>191</v>
      </c>
      <c r="AO164" t="s">
        <v>186</v>
      </c>
    </row>
    <row r="165" spans="1:49">
      <c r="A165" t="s">
        <v>7</v>
      </c>
      <c r="D165" t="s">
        <v>191</v>
      </c>
      <c r="N165" t="s">
        <v>63</v>
      </c>
      <c r="R165" t="s">
        <v>43</v>
      </c>
      <c r="X165" t="s">
        <v>266</v>
      </c>
      <c r="AG165" t="s">
        <v>344</v>
      </c>
      <c r="AT165" t="s">
        <v>191</v>
      </c>
      <c r="AW165" t="s">
        <v>191</v>
      </c>
    </row>
    <row r="166" spans="1:49">
      <c r="A166" t="s">
        <v>9</v>
      </c>
      <c r="D166" t="s">
        <v>69</v>
      </c>
      <c r="R166" t="s">
        <v>44</v>
      </c>
      <c r="X166" t="s">
        <v>265</v>
      </c>
      <c r="AO166" t="s">
        <v>191</v>
      </c>
      <c r="AT166" t="s">
        <v>745</v>
      </c>
      <c r="AW166" t="s">
        <v>95</v>
      </c>
    </row>
    <row r="167" spans="1:49">
      <c r="A167" t="s">
        <v>11</v>
      </c>
      <c r="R167" t="s">
        <v>616</v>
      </c>
      <c r="X167" t="s">
        <v>264</v>
      </c>
      <c r="AG167" t="s">
        <v>191</v>
      </c>
      <c r="AO167" t="s">
        <v>69</v>
      </c>
      <c r="AW167" t="s">
        <v>96</v>
      </c>
    </row>
    <row r="168" spans="1:49">
      <c r="A168" t="s">
        <v>97</v>
      </c>
      <c r="D168" t="s">
        <v>191</v>
      </c>
      <c r="R168" t="s">
        <v>681</v>
      </c>
      <c r="X168" t="s">
        <v>263</v>
      </c>
      <c r="AG168" t="s">
        <v>43</v>
      </c>
      <c r="AW168" t="s">
        <v>7</v>
      </c>
    </row>
    <row r="169" spans="1:49">
      <c r="D169" t="s">
        <v>469</v>
      </c>
      <c r="N169" t="s">
        <v>191</v>
      </c>
      <c r="R169" t="s">
        <v>682</v>
      </c>
      <c r="X169" t="s">
        <v>262</v>
      </c>
      <c r="AG169" t="s">
        <v>44</v>
      </c>
      <c r="AO169" t="s">
        <v>191</v>
      </c>
    </row>
    <row r="170" spans="1:49">
      <c r="A170" t="s">
        <v>191</v>
      </c>
      <c r="N170" t="s">
        <v>66</v>
      </c>
      <c r="X170" t="s">
        <v>261</v>
      </c>
      <c r="AO170" t="s">
        <v>161</v>
      </c>
      <c r="AW170" t="s">
        <v>191</v>
      </c>
    </row>
    <row r="171" spans="1:49">
      <c r="A171" t="s">
        <v>69</v>
      </c>
      <c r="D171" t="s">
        <v>191</v>
      </c>
      <c r="R171" t="s">
        <v>191</v>
      </c>
      <c r="X171" t="s">
        <v>260</v>
      </c>
      <c r="AG171" t="s">
        <v>191</v>
      </c>
      <c r="AW171" t="s">
        <v>111</v>
      </c>
    </row>
    <row r="172" spans="1:49">
      <c r="D172" t="s">
        <v>653</v>
      </c>
      <c r="N172" t="s">
        <v>191</v>
      </c>
      <c r="R172" t="s">
        <v>38</v>
      </c>
      <c r="X172" t="s">
        <v>348</v>
      </c>
      <c r="AG172" t="s">
        <v>377</v>
      </c>
      <c r="AO172" t="s">
        <v>191</v>
      </c>
      <c r="AW172" t="s">
        <v>24</v>
      </c>
    </row>
    <row r="173" spans="1:49">
      <c r="A173" t="s">
        <v>191</v>
      </c>
      <c r="N173" t="s">
        <v>202</v>
      </c>
      <c r="R173" t="s">
        <v>680</v>
      </c>
      <c r="X173" t="s">
        <v>259</v>
      </c>
      <c r="AG173" t="s">
        <v>294</v>
      </c>
      <c r="AO173" t="s">
        <v>139</v>
      </c>
      <c r="AW173" t="s">
        <v>25</v>
      </c>
    </row>
    <row r="174" spans="1:49">
      <c r="A174" t="s">
        <v>587</v>
      </c>
      <c r="D174" t="s">
        <v>191</v>
      </c>
      <c r="R174" t="s">
        <v>39</v>
      </c>
      <c r="AG174" t="s">
        <v>293</v>
      </c>
      <c r="AW174" t="s">
        <v>709</v>
      </c>
    </row>
    <row r="175" spans="1:49">
      <c r="A175" t="s">
        <v>586</v>
      </c>
      <c r="D175" t="s">
        <v>134</v>
      </c>
      <c r="N175" t="s">
        <v>191</v>
      </c>
      <c r="R175" t="s">
        <v>40</v>
      </c>
      <c r="X175" t="s">
        <v>191</v>
      </c>
      <c r="AG175" t="s">
        <v>292</v>
      </c>
      <c r="AO175" t="s">
        <v>191</v>
      </c>
    </row>
    <row r="176" spans="1:49">
      <c r="A176" t="s">
        <v>370</v>
      </c>
      <c r="N176" t="s">
        <v>69</v>
      </c>
      <c r="R176" t="s">
        <v>88</v>
      </c>
      <c r="X176" t="s">
        <v>134</v>
      </c>
      <c r="AG176" t="s">
        <v>291</v>
      </c>
      <c r="AO176">
        <v>30</v>
      </c>
      <c r="AW176" t="s">
        <v>191</v>
      </c>
    </row>
    <row r="177" spans="1:49">
      <c r="A177" t="s">
        <v>371</v>
      </c>
      <c r="D177" t="s">
        <v>191</v>
      </c>
      <c r="AG177" t="s">
        <v>290</v>
      </c>
      <c r="AO177">
        <v>45</v>
      </c>
      <c r="AW177" t="s">
        <v>156</v>
      </c>
    </row>
    <row r="178" spans="1:49">
      <c r="A178" t="s">
        <v>372</v>
      </c>
      <c r="D178">
        <v>15</v>
      </c>
      <c r="R178" t="s">
        <v>191</v>
      </c>
      <c r="X178" t="s">
        <v>191</v>
      </c>
      <c r="AG178" t="s">
        <v>289</v>
      </c>
      <c r="AW178" t="s">
        <v>624</v>
      </c>
    </row>
    <row r="179" spans="1:49">
      <c r="A179" t="s">
        <v>373</v>
      </c>
      <c r="D179">
        <v>30</v>
      </c>
      <c r="N179" t="s">
        <v>191</v>
      </c>
      <c r="R179" t="s">
        <v>465</v>
      </c>
      <c r="X179" t="s">
        <v>520</v>
      </c>
      <c r="AO179" t="s">
        <v>191</v>
      </c>
    </row>
    <row r="180" spans="1:49">
      <c r="A180" t="s">
        <v>367</v>
      </c>
      <c r="N180" t="s">
        <v>321</v>
      </c>
      <c r="X180" t="s">
        <v>88</v>
      </c>
      <c r="AG180" t="s">
        <v>191</v>
      </c>
      <c r="AO180" t="s">
        <v>111</v>
      </c>
      <c r="AW180" t="s">
        <v>191</v>
      </c>
    </row>
    <row r="181" spans="1:49">
      <c r="A181" t="s">
        <v>368</v>
      </c>
      <c r="N181" t="s">
        <v>314</v>
      </c>
      <c r="R181" t="s">
        <v>191</v>
      </c>
      <c r="X181" t="s">
        <v>766</v>
      </c>
      <c r="AG181" t="s">
        <v>632</v>
      </c>
      <c r="AO181" t="s">
        <v>24</v>
      </c>
      <c r="AW181">
        <v>15</v>
      </c>
    </row>
    <row r="182" spans="1:49">
      <c r="A182" t="s">
        <v>369</v>
      </c>
      <c r="R182" t="s">
        <v>632</v>
      </c>
      <c r="AO182" t="s">
        <v>25</v>
      </c>
      <c r="AW182">
        <v>30</v>
      </c>
    </row>
    <row r="183" spans="1:49">
      <c r="N183" t="s">
        <v>191</v>
      </c>
      <c r="X183" t="s">
        <v>191</v>
      </c>
      <c r="AG183" t="s">
        <v>191</v>
      </c>
      <c r="AO183" t="s">
        <v>26</v>
      </c>
    </row>
    <row r="184" spans="1:49">
      <c r="A184" t="s">
        <v>191</v>
      </c>
      <c r="N184">
        <v>15</v>
      </c>
      <c r="R184" t="s">
        <v>191</v>
      </c>
      <c r="X184" t="s">
        <v>745</v>
      </c>
      <c r="AG184" t="s">
        <v>745</v>
      </c>
      <c r="AO184" t="s">
        <v>25</v>
      </c>
    </row>
    <row r="185" spans="1:49">
      <c r="A185" t="s">
        <v>95</v>
      </c>
      <c r="N185">
        <v>30</v>
      </c>
      <c r="R185" t="s">
        <v>37</v>
      </c>
      <c r="AO185" t="s">
        <v>26</v>
      </c>
    </row>
    <row r="186" spans="1:49">
      <c r="A186" t="s">
        <v>96</v>
      </c>
      <c r="R186" t="s">
        <v>36</v>
      </c>
    </row>
    <row r="187" spans="1:49">
      <c r="A187" t="s">
        <v>7</v>
      </c>
      <c r="R187" t="s">
        <v>24</v>
      </c>
    </row>
    <row r="188" spans="1:49">
      <c r="A188" t="s">
        <v>9</v>
      </c>
      <c r="N188" t="s">
        <v>191</v>
      </c>
      <c r="R188" t="s">
        <v>25</v>
      </c>
    </row>
    <row r="189" spans="1:49">
      <c r="A189" t="s">
        <v>11</v>
      </c>
      <c r="N189" t="s">
        <v>95</v>
      </c>
      <c r="R189" t="s">
        <v>26</v>
      </c>
    </row>
    <row r="190" spans="1:49">
      <c r="A190" t="s">
        <v>97</v>
      </c>
      <c r="N190" t="s">
        <v>96</v>
      </c>
      <c r="R190" t="s">
        <v>27</v>
      </c>
    </row>
    <row r="191" spans="1:49">
      <c r="N191" t="s">
        <v>7</v>
      </c>
      <c r="R191" t="s">
        <v>28</v>
      </c>
    </row>
    <row r="192" spans="1:49">
      <c r="A192" t="s">
        <v>191</v>
      </c>
      <c r="N192" t="s">
        <v>9</v>
      </c>
      <c r="R192" t="s">
        <v>80</v>
      </c>
    </row>
    <row r="193" spans="1:18">
      <c r="A193" t="s">
        <v>183</v>
      </c>
      <c r="N193" t="s">
        <v>11</v>
      </c>
      <c r="R193" t="s">
        <v>81</v>
      </c>
    </row>
    <row r="194" spans="1:18">
      <c r="A194" t="s">
        <v>184</v>
      </c>
      <c r="N194" t="s">
        <v>12</v>
      </c>
    </row>
    <row r="195" spans="1:18">
      <c r="A195" t="s">
        <v>185</v>
      </c>
      <c r="R195" t="s">
        <v>191</v>
      </c>
    </row>
    <row r="196" spans="1:18">
      <c r="A196" t="s">
        <v>186</v>
      </c>
      <c r="N196" t="s">
        <v>191</v>
      </c>
      <c r="R196" t="s">
        <v>29</v>
      </c>
    </row>
    <row r="197" spans="1:18">
      <c r="N197" t="s">
        <v>465</v>
      </c>
      <c r="R197" t="s">
        <v>61</v>
      </c>
    </row>
    <row r="198" spans="1:18">
      <c r="A198" t="s">
        <v>191</v>
      </c>
    </row>
    <row r="199" spans="1:18">
      <c r="A199" t="s">
        <v>161</v>
      </c>
      <c r="N199" t="s">
        <v>191</v>
      </c>
      <c r="R199" t="s">
        <v>191</v>
      </c>
    </row>
    <row r="200" spans="1:18">
      <c r="N200" t="s">
        <v>632</v>
      </c>
      <c r="R200" t="s">
        <v>202</v>
      </c>
    </row>
    <row r="201" spans="1:18">
      <c r="A201" t="s">
        <v>191</v>
      </c>
    </row>
    <row r="202" spans="1:18">
      <c r="A202" t="s">
        <v>469</v>
      </c>
      <c r="R202" t="s">
        <v>191</v>
      </c>
    </row>
    <row r="203" spans="1:18">
      <c r="R203" t="s">
        <v>66</v>
      </c>
    </row>
    <row r="204" spans="1:18">
      <c r="A204" t="s">
        <v>191</v>
      </c>
      <c r="R204" t="s">
        <v>67</v>
      </c>
    </row>
    <row r="205" spans="1:18">
      <c r="A205" t="s">
        <v>114</v>
      </c>
    </row>
    <row r="206" spans="1:18">
      <c r="A206" t="s">
        <v>115</v>
      </c>
      <c r="R206" t="s">
        <v>191</v>
      </c>
    </row>
    <row r="207" spans="1:18">
      <c r="R207" t="s">
        <v>95</v>
      </c>
    </row>
    <row r="208" spans="1:18">
      <c r="A208" t="s">
        <v>191</v>
      </c>
      <c r="R208" t="s">
        <v>96</v>
      </c>
    </row>
    <row r="209" spans="1:18">
      <c r="A209" t="s">
        <v>679</v>
      </c>
      <c r="R209" t="s">
        <v>7</v>
      </c>
    </row>
    <row r="210" spans="1:18">
      <c r="A210" t="s">
        <v>113</v>
      </c>
      <c r="R210" t="s">
        <v>9</v>
      </c>
    </row>
    <row r="211" spans="1:18">
      <c r="A211" t="s">
        <v>605</v>
      </c>
      <c r="R211" t="s">
        <v>11</v>
      </c>
    </row>
    <row r="212" spans="1:18">
      <c r="A212" t="s">
        <v>604</v>
      </c>
      <c r="R212" t="s">
        <v>607</v>
      </c>
    </row>
    <row r="213" spans="1:18">
      <c r="A213" t="s">
        <v>666</v>
      </c>
    </row>
    <row r="214" spans="1:18">
      <c r="R214" t="s">
        <v>191</v>
      </c>
    </row>
    <row r="215" spans="1:18">
      <c r="A215" t="s">
        <v>191</v>
      </c>
      <c r="R215" t="s">
        <v>69</v>
      </c>
    </row>
    <row r="216" spans="1:18">
      <c r="A216" t="s">
        <v>521</v>
      </c>
    </row>
    <row r="217" spans="1:18">
      <c r="A217" t="s">
        <v>524</v>
      </c>
      <c r="R217" t="s">
        <v>191</v>
      </c>
    </row>
    <row r="218" spans="1:18">
      <c r="A218" t="s">
        <v>522</v>
      </c>
      <c r="R218">
        <v>15</v>
      </c>
    </row>
    <row r="219" spans="1:18">
      <c r="A219" t="s">
        <v>523</v>
      </c>
      <c r="R219">
        <v>30</v>
      </c>
    </row>
    <row r="221" spans="1:18">
      <c r="A221" t="s">
        <v>191</v>
      </c>
      <c r="R221" t="s">
        <v>191</v>
      </c>
    </row>
    <row r="222" spans="1:18">
      <c r="A222" t="s">
        <v>111</v>
      </c>
      <c r="R222" t="s">
        <v>57</v>
      </c>
    </row>
    <row r="223" spans="1:18">
      <c r="A223" t="s">
        <v>24</v>
      </c>
      <c r="R223" t="s">
        <v>59</v>
      </c>
    </row>
    <row r="224" spans="1:18">
      <c r="A224" t="s">
        <v>25</v>
      </c>
    </row>
    <row r="225" spans="1:18">
      <c r="A225" t="s">
        <v>26</v>
      </c>
      <c r="R225" t="s">
        <v>191</v>
      </c>
    </row>
    <row r="226" spans="1:18">
      <c r="A226" t="s">
        <v>27</v>
      </c>
      <c r="R226" t="s">
        <v>321</v>
      </c>
    </row>
    <row r="227" spans="1:18">
      <c r="A227" t="s">
        <v>28</v>
      </c>
      <c r="R227" t="s">
        <v>314</v>
      </c>
    </row>
    <row r="228" spans="1:18">
      <c r="A228" t="s">
        <v>80</v>
      </c>
    </row>
    <row r="229" spans="1:18">
      <c r="A229" t="s">
        <v>81</v>
      </c>
      <c r="R229" t="s">
        <v>191</v>
      </c>
    </row>
    <row r="230" spans="1:18">
      <c r="A230" t="s">
        <v>82</v>
      </c>
      <c r="R230" t="s">
        <v>190</v>
      </c>
    </row>
    <row r="232" spans="1:18">
      <c r="A232" t="s">
        <v>191</v>
      </c>
      <c r="R232" t="s">
        <v>191</v>
      </c>
    </row>
    <row r="233" spans="1:18">
      <c r="A233" s="1412">
        <v>15</v>
      </c>
      <c r="R233" t="s">
        <v>312</v>
      </c>
    </row>
    <row r="234" spans="1:18">
      <c r="A234" s="1412">
        <v>30</v>
      </c>
    </row>
    <row r="235" spans="1:18">
      <c r="R235" t="s">
        <v>191</v>
      </c>
    </row>
    <row r="236" spans="1:18">
      <c r="R236" t="s">
        <v>725</v>
      </c>
    </row>
    <row r="237" spans="1:18">
      <c r="R237" t="s">
        <v>775</v>
      </c>
    </row>
    <row r="238" spans="1:18">
      <c r="R238" t="s">
        <v>774</v>
      </c>
    </row>
  </sheetData>
  <mergeCells count="11">
    <mergeCell ref="AZ1:BD1"/>
    <mergeCell ref="BF1:BI1"/>
    <mergeCell ref="A1:H1"/>
    <mergeCell ref="AT2:AX2"/>
    <mergeCell ref="J1:Q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37" customWidth="1"/>
    <col min="2" max="2" width="15.85546875" style="936" customWidth="1"/>
    <col min="3" max="3" width="10.28515625" style="936" customWidth="1"/>
    <col min="4" max="4" width="10.42578125" style="936" customWidth="1"/>
    <col min="5" max="5" width="9.7109375" style="936" bestFit="1" customWidth="1"/>
    <col min="6" max="6" width="10.7109375" style="936" bestFit="1" customWidth="1"/>
    <col min="7" max="7" width="16.42578125" style="936" bestFit="1" customWidth="1"/>
    <col min="8" max="8" width="19.42578125" style="936" customWidth="1"/>
    <col min="9" max="9" width="13.7109375" style="936" customWidth="1"/>
    <col min="10" max="10" width="18.140625" style="936" bestFit="1" customWidth="1"/>
    <col min="11" max="11" width="16.42578125" style="936" customWidth="1"/>
    <col min="12" max="13" width="13.7109375" style="936" customWidth="1"/>
    <col min="14" max="14" width="5" style="936" customWidth="1"/>
    <col min="15" max="15" width="9.140625" style="935"/>
    <col min="16" max="16" width="19.85546875" style="935" customWidth="1"/>
    <col min="17" max="17" width="20" style="935" customWidth="1"/>
    <col min="18" max="18" width="17.42578125" style="935" customWidth="1"/>
    <col min="19" max="16384" width="9.140625" style="935"/>
  </cols>
  <sheetData>
    <row r="1" spans="1:18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1308"/>
    </row>
    <row r="2" spans="1:18" s="936" customFormat="1">
      <c r="A2" s="1082"/>
      <c r="B2" s="941"/>
      <c r="C2" s="941"/>
      <c r="D2" s="941"/>
      <c r="E2" s="941"/>
      <c r="F2" s="941"/>
      <c r="G2" s="941"/>
      <c r="H2" s="941"/>
      <c r="I2" s="941"/>
      <c r="K2" s="937" t="s">
        <v>329</v>
      </c>
      <c r="L2" s="1747">
        <f ca="1">NOW()</f>
        <v>46223.360261689813</v>
      </c>
      <c r="M2" s="1747"/>
      <c r="N2" s="1317"/>
    </row>
    <row r="3" spans="1:18" s="936" customFormat="1">
      <c r="A3" s="1082"/>
      <c r="B3" s="941"/>
      <c r="C3" s="941"/>
      <c r="D3" s="941"/>
      <c r="E3" s="941"/>
      <c r="F3" s="941"/>
      <c r="G3" s="941"/>
      <c r="H3" s="941"/>
      <c r="I3" s="941"/>
      <c r="K3" s="941"/>
      <c r="L3" s="1746" t="s">
        <v>601</v>
      </c>
      <c r="M3" s="1746"/>
      <c r="N3" s="1146"/>
    </row>
    <row r="4" spans="1:18" s="936" customFormat="1">
      <c r="A4" s="1082"/>
      <c r="B4" s="941"/>
      <c r="C4" s="941"/>
      <c r="D4" s="941"/>
      <c r="E4" s="941"/>
      <c r="F4" s="941"/>
      <c r="G4" s="941"/>
      <c r="H4" s="941"/>
      <c r="I4" s="941"/>
      <c r="K4" s="941"/>
      <c r="L4" s="1301"/>
      <c r="M4" s="1301"/>
      <c r="N4" s="1309"/>
    </row>
    <row r="5" spans="1:18" s="936" customFormat="1">
      <c r="A5" s="1082"/>
      <c r="B5" s="941"/>
      <c r="C5" s="941"/>
      <c r="D5" s="941"/>
      <c r="E5" s="941"/>
      <c r="F5" s="941"/>
      <c r="G5" s="941"/>
      <c r="H5" s="941"/>
      <c r="I5" s="941"/>
      <c r="K5" s="941"/>
      <c r="L5" s="1325"/>
      <c r="M5" s="1301" t="s">
        <v>171</v>
      </c>
      <c r="N5" s="940"/>
    </row>
    <row r="6" spans="1:18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1309"/>
    </row>
    <row r="7" spans="1:18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1309"/>
    </row>
    <row r="8" spans="1:18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1146"/>
    </row>
    <row r="9" spans="1:18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128"/>
      <c r="N9" s="1310"/>
    </row>
    <row r="10" spans="1:18" s="936" customFormat="1" ht="14.25" customHeight="1">
      <c r="A10" s="1748" t="s">
        <v>430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49"/>
      <c r="N10" s="1750"/>
      <c r="P10" s="1715" t="s">
        <v>493</v>
      </c>
      <c r="Q10" s="1716"/>
      <c r="R10" s="1716"/>
    </row>
    <row r="11" spans="1:18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3"/>
      <c r="P11" s="418"/>
      <c r="Q11" s="418"/>
      <c r="R11" s="418"/>
    </row>
    <row r="12" spans="1:18" s="936" customFormat="1" ht="15.75" thickBot="1">
      <c r="A12" s="1399"/>
      <c r="B12" s="1128"/>
      <c r="C12" s="2070" t="s">
        <v>438</v>
      </c>
      <c r="D12" s="2071"/>
      <c r="E12" s="2071"/>
      <c r="F12" s="1367"/>
      <c r="G12" s="1128"/>
      <c r="H12" s="1128"/>
      <c r="I12" s="1128"/>
      <c r="J12" s="1128"/>
      <c r="K12" s="1128"/>
      <c r="L12" s="1128"/>
      <c r="M12" s="1128"/>
      <c r="N12" s="1310"/>
      <c r="P12" s="1112" t="s">
        <v>195</v>
      </c>
      <c r="Q12" s="1112" t="s">
        <v>196</v>
      </c>
      <c r="R12" s="1112" t="s">
        <v>197</v>
      </c>
    </row>
    <row r="13" spans="1:18" s="936" customFormat="1" ht="15.75" thickBot="1">
      <c r="A13" s="1129"/>
      <c r="B13" s="1275" t="s">
        <v>211</v>
      </c>
      <c r="C13" s="1300" t="s">
        <v>482</v>
      </c>
      <c r="D13" s="1275" t="s">
        <v>483</v>
      </c>
      <c r="E13" s="1300" t="s">
        <v>484</v>
      </c>
      <c r="F13" s="1275" t="s">
        <v>32</v>
      </c>
      <c r="H13" s="1081" t="s">
        <v>2</v>
      </c>
      <c r="I13" s="1080"/>
      <c r="J13" s="941"/>
      <c r="K13" s="1081" t="s">
        <v>303</v>
      </c>
      <c r="L13"/>
      <c r="M13"/>
      <c r="N13" s="1409"/>
      <c r="P13" s="418"/>
      <c r="Q13" s="418"/>
      <c r="R13" s="418"/>
    </row>
    <row r="14" spans="1:18" s="936" customFormat="1" ht="15.75" thickBot="1">
      <c r="A14" s="1129"/>
      <c r="B14" s="1318">
        <f>margins!AT4</f>
        <v>0</v>
      </c>
      <c r="C14" s="1321">
        <v>90.84</v>
      </c>
      <c r="D14" s="1319">
        <v>90.84</v>
      </c>
      <c r="E14" s="1400">
        <v>90.84</v>
      </c>
      <c r="F14" s="1323">
        <v>90.84</v>
      </c>
      <c r="H14" s="1112" t="s">
        <v>6</v>
      </c>
      <c r="I14" s="1175">
        <v>100</v>
      </c>
      <c r="J14" s="941"/>
      <c r="K14" s="2067" t="s">
        <v>713</v>
      </c>
      <c r="L14" s="2068"/>
      <c r="M14" s="2069"/>
      <c r="N14" s="1146"/>
      <c r="P14" s="579" t="s">
        <v>198</v>
      </c>
      <c r="Q14" s="431" t="s">
        <v>32</v>
      </c>
      <c r="R14" s="850"/>
    </row>
    <row r="15" spans="1:18" s="936" customFormat="1" ht="15.75" thickBot="1">
      <c r="A15" s="1129"/>
      <c r="B15" s="1318">
        <f>margins!AT5</f>
        <v>0.125</v>
      </c>
      <c r="C15" s="1321">
        <v>91.22</v>
      </c>
      <c r="D15" s="1319">
        <v>91.22</v>
      </c>
      <c r="E15" s="1400">
        <v>91.22</v>
      </c>
      <c r="F15" s="1323">
        <v>91.22</v>
      </c>
      <c r="H15" s="1112" t="s">
        <v>8</v>
      </c>
      <c r="I15" s="1134">
        <v>0</v>
      </c>
      <c r="J15" s="941"/>
      <c r="K15" s="2064" t="s">
        <v>714</v>
      </c>
      <c r="L15" s="2065"/>
      <c r="M15" s="2066"/>
      <c r="N15" s="1146"/>
      <c r="P15" s="581" t="s">
        <v>210</v>
      </c>
      <c r="Q15" s="432">
        <v>2.5</v>
      </c>
      <c r="R15" s="436">
        <f>VLOOKUP(Q15,$B$13:$F$60,MATCH(Q14,B13:F13,0), FALSE)</f>
        <v>99.59</v>
      </c>
    </row>
    <row r="16" spans="1:18" s="936" customFormat="1" ht="15.75" thickBot="1">
      <c r="A16" s="1129"/>
      <c r="B16" s="1318">
        <f>margins!AT6</f>
        <v>0.25</v>
      </c>
      <c r="C16" s="1321">
        <v>91.59</v>
      </c>
      <c r="D16" s="1319">
        <v>91.59</v>
      </c>
      <c r="E16" s="1400">
        <v>91.59</v>
      </c>
      <c r="F16" s="1323">
        <v>91.59</v>
      </c>
      <c r="H16" s="1101" t="s">
        <v>10</v>
      </c>
      <c r="I16" s="1331">
        <v>-0.375</v>
      </c>
      <c r="J16" s="941"/>
      <c r="K16" s="2061" t="s">
        <v>715</v>
      </c>
      <c r="L16" s="2062"/>
      <c r="M16" s="2063"/>
      <c r="N16" s="1146"/>
      <c r="P16" s="581" t="s">
        <v>353</v>
      </c>
      <c r="Q16" s="432" t="s">
        <v>22</v>
      </c>
      <c r="R16" s="436"/>
    </row>
    <row r="17" spans="1:18" s="936" customFormat="1">
      <c r="A17" s="1129"/>
      <c r="B17" s="1318">
        <f>margins!AT7</f>
        <v>0.375</v>
      </c>
      <c r="C17" s="1321">
        <v>91.97</v>
      </c>
      <c r="D17" s="1319">
        <v>91.97</v>
      </c>
      <c r="E17" s="1400">
        <v>91.97</v>
      </c>
      <c r="F17" s="1323">
        <v>91.97</v>
      </c>
      <c r="H17"/>
      <c r="I17"/>
      <c r="J17" s="941"/>
      <c r="K17" s="2061" t="s">
        <v>716</v>
      </c>
      <c r="L17" s="2062"/>
      <c r="M17" s="2063"/>
      <c r="N17" s="1316"/>
      <c r="P17" s="581" t="s">
        <v>200</v>
      </c>
      <c r="Q17" s="432" t="s">
        <v>291</v>
      </c>
      <c r="R17" s="849"/>
    </row>
    <row r="18" spans="1:18" s="936" customFormat="1" ht="15.75" thickBot="1">
      <c r="A18" s="1129"/>
      <c r="B18" s="1318">
        <f>margins!AT8</f>
        <v>0.5</v>
      </c>
      <c r="C18" s="1321">
        <v>92.36</v>
      </c>
      <c r="D18" s="1319">
        <v>92.36</v>
      </c>
      <c r="E18" s="1400">
        <v>92.36</v>
      </c>
      <c r="F18" s="1323">
        <v>92.36</v>
      </c>
      <c r="H18"/>
      <c r="I18"/>
      <c r="J18" s="941"/>
      <c r="K18" s="1407" t="s">
        <v>717</v>
      </c>
      <c r="L18" s="1408">
        <v>7.25</v>
      </c>
      <c r="M18" s="1411"/>
      <c r="N18" s="1410"/>
      <c r="P18" s="581" t="s">
        <v>486</v>
      </c>
      <c r="Q18" s="432" t="s">
        <v>191</v>
      </c>
      <c r="R18" s="849">
        <f>IF(Q18="Choose a Selection",0,(INDEX($E$65:$M$70,MATCH(Q17,$C$65:$C$70,0),MATCH($Q$16,$E$64:$M$64,0),1)))</f>
        <v>0</v>
      </c>
    </row>
    <row r="19" spans="1:18" s="936" customFormat="1" ht="15" customHeight="1">
      <c r="A19" s="1129"/>
      <c r="B19" s="1318">
        <f>margins!AT9</f>
        <v>0.625</v>
      </c>
      <c r="C19" s="1321">
        <v>92.77</v>
      </c>
      <c r="D19" s="1319">
        <v>92.77</v>
      </c>
      <c r="E19" s="1400">
        <v>92.77</v>
      </c>
      <c r="F19" s="1323">
        <v>92.77</v>
      </c>
      <c r="H19" s="1729" t="s">
        <v>30</v>
      </c>
      <c r="I19" s="1769"/>
      <c r="J19" s="941"/>
      <c r="M19" s="1406"/>
      <c r="N19" s="1410"/>
      <c r="P19" s="581" t="s">
        <v>508</v>
      </c>
      <c r="Q19" s="432" t="s">
        <v>191</v>
      </c>
      <c r="R19" s="849">
        <f>IF(Q19="Choose a Selection",0,(INDEX($E$71:$M$71,1,MATCH($Q$16,$E$64:$M$64,0),1)))</f>
        <v>0</v>
      </c>
    </row>
    <row r="20" spans="1:18" s="936" customFormat="1">
      <c r="A20" s="1129"/>
      <c r="B20" s="1318">
        <f>margins!AT10</f>
        <v>0.75</v>
      </c>
      <c r="C20" s="1321">
        <v>93.2</v>
      </c>
      <c r="D20" s="1319">
        <v>93.2</v>
      </c>
      <c r="E20" s="1400">
        <v>93.2</v>
      </c>
      <c r="F20" s="1323">
        <v>93.2</v>
      </c>
      <c r="H20" s="1332" t="s">
        <v>83</v>
      </c>
      <c r="I20" s="1131">
        <v>-0.25</v>
      </c>
      <c r="J20" s="941"/>
      <c r="K20"/>
      <c r="L20"/>
      <c r="M20"/>
      <c r="N20" s="1327"/>
      <c r="P20" s="581" t="s">
        <v>509</v>
      </c>
      <c r="Q20" s="432" t="s">
        <v>191</v>
      </c>
      <c r="R20" s="849">
        <f>IF(Q20="Choose a Selection",0,(INDEX($E$72:$M$77,MATCH(Q17,$C$72:$C$77,0),MATCH($Q$16,$E$64:$M$64,0),1)))</f>
        <v>0</v>
      </c>
    </row>
    <row r="21" spans="1:18" s="936" customFormat="1" ht="15" customHeight="1">
      <c r="A21" s="1129"/>
      <c r="B21" s="1318">
        <f>margins!AT11</f>
        <v>0.875</v>
      </c>
      <c r="C21" s="1321">
        <v>93.64</v>
      </c>
      <c r="D21" s="1319">
        <v>93.64</v>
      </c>
      <c r="E21" s="1400">
        <v>93.64</v>
      </c>
      <c r="F21" s="1323">
        <v>93.64</v>
      </c>
      <c r="H21" s="1332" t="s">
        <v>84</v>
      </c>
      <c r="I21" s="1131">
        <v>-0.32500000000000001</v>
      </c>
      <c r="J21" s="941"/>
      <c r="K21"/>
      <c r="L21"/>
      <c r="M21"/>
      <c r="N21" s="1327"/>
      <c r="P21" s="581" t="s">
        <v>507</v>
      </c>
      <c r="Q21" s="432" t="s">
        <v>191</v>
      </c>
      <c r="R21" s="849">
        <f>IF(Q21="Choose a Selection",0,(INDEX($E$78:$M$78,1,MATCH($Q$16,$E$64:$M$64,0),1)))</f>
        <v>0</v>
      </c>
    </row>
    <row r="22" spans="1:18" s="936" customFormat="1">
      <c r="A22" s="1129"/>
      <c r="B22" s="1318">
        <f>margins!AT12</f>
        <v>1</v>
      </c>
      <c r="C22" s="1321">
        <v>94.09</v>
      </c>
      <c r="D22" s="1319">
        <v>94.09</v>
      </c>
      <c r="E22" s="1400">
        <v>94.09</v>
      </c>
      <c r="F22" s="1323">
        <v>94.09</v>
      </c>
      <c r="H22" s="1332" t="s">
        <v>85</v>
      </c>
      <c r="I22" s="1338">
        <v>-0.55000000000000004</v>
      </c>
      <c r="J22" s="1081"/>
      <c r="K22"/>
      <c r="L22"/>
      <c r="M22"/>
      <c r="N22" s="1327"/>
      <c r="P22" s="581" t="s">
        <v>492</v>
      </c>
      <c r="Q22" s="432" t="s">
        <v>191</v>
      </c>
      <c r="R22" s="849">
        <f t="shared" ref="R22:R27" si="0">IF(Q22="Choose a Selection",0,(INDEX($E$65:$M$93,MATCH(Q22,$C$65:$C$93,0),MATCH($Q$16,$E$64:$M$64,0),1)))</f>
        <v>0</v>
      </c>
    </row>
    <row r="23" spans="1:18" s="936" customFormat="1" ht="15.75" customHeight="1" thickBot="1">
      <c r="A23" s="1082"/>
      <c r="B23" s="1318">
        <f>margins!AT13</f>
        <v>1.125</v>
      </c>
      <c r="C23" s="1321">
        <v>94.56</v>
      </c>
      <c r="D23" s="1319">
        <v>94.56</v>
      </c>
      <c r="E23" s="1400">
        <v>94.56</v>
      </c>
      <c r="F23" s="1323">
        <v>94.56</v>
      </c>
      <c r="H23" s="1333" t="s">
        <v>86</v>
      </c>
      <c r="I23" s="1137">
        <v>-0.65</v>
      </c>
      <c r="J23"/>
      <c r="K23"/>
      <c r="L23"/>
      <c r="M23"/>
      <c r="N23" s="1327"/>
      <c r="P23" s="581" t="s">
        <v>45</v>
      </c>
      <c r="Q23" s="432" t="s">
        <v>191</v>
      </c>
      <c r="R23" s="849">
        <f t="shared" si="0"/>
        <v>0</v>
      </c>
    </row>
    <row r="24" spans="1:18" s="936" customFormat="1">
      <c r="A24" s="1082"/>
      <c r="B24" s="1318">
        <f>margins!AT14</f>
        <v>1.25</v>
      </c>
      <c r="C24" s="1321">
        <v>95.03</v>
      </c>
      <c r="D24" s="1319">
        <v>95.03</v>
      </c>
      <c r="E24" s="1400">
        <v>95.03</v>
      </c>
      <c r="F24" s="1323">
        <v>95.03</v>
      </c>
      <c r="H24" s="936" t="s">
        <v>299</v>
      </c>
      <c r="I24"/>
      <c r="J24"/>
      <c r="K24"/>
      <c r="L24"/>
      <c r="M24"/>
      <c r="N24" s="1327"/>
      <c r="P24" s="581" t="s">
        <v>279</v>
      </c>
      <c r="Q24" s="432" t="s">
        <v>191</v>
      </c>
      <c r="R24" s="849">
        <f t="shared" si="0"/>
        <v>0</v>
      </c>
    </row>
    <row r="25" spans="1:18" s="936" customFormat="1" ht="15" customHeight="1">
      <c r="A25" s="1082"/>
      <c r="B25" s="1318">
        <f>margins!AT15</f>
        <v>1.375</v>
      </c>
      <c r="C25" s="1321">
        <v>95.5</v>
      </c>
      <c r="D25" s="1319">
        <v>95.5</v>
      </c>
      <c r="E25" s="1400">
        <v>95.5</v>
      </c>
      <c r="F25" s="1323">
        <v>95.5</v>
      </c>
      <c r="H25"/>
      <c r="I25"/>
      <c r="J25"/>
      <c r="K25"/>
      <c r="L25"/>
      <c r="M25"/>
      <c r="N25" s="1327"/>
      <c r="P25" s="581" t="s">
        <v>60</v>
      </c>
      <c r="Q25" s="432" t="s">
        <v>191</v>
      </c>
      <c r="R25" s="849">
        <f t="shared" si="0"/>
        <v>0</v>
      </c>
    </row>
    <row r="26" spans="1:18" s="936" customFormat="1" ht="14.25" customHeight="1" thickBot="1">
      <c r="A26" s="1082"/>
      <c r="B26" s="1318">
        <f>margins!AT16</f>
        <v>1.5</v>
      </c>
      <c r="C26" s="1321">
        <v>95.91</v>
      </c>
      <c r="D26" s="1319">
        <v>95.91</v>
      </c>
      <c r="E26" s="1400">
        <v>95.91</v>
      </c>
      <c r="F26" s="1323">
        <v>95.91</v>
      </c>
      <c r="L26"/>
      <c r="M26"/>
      <c r="N26" s="1327"/>
      <c r="P26" s="581" t="s">
        <v>62</v>
      </c>
      <c r="Q26" s="432" t="s">
        <v>191</v>
      </c>
      <c r="R26" s="849">
        <f t="shared" si="0"/>
        <v>0</v>
      </c>
    </row>
    <row r="27" spans="1:18" s="936" customFormat="1">
      <c r="A27" s="1082"/>
      <c r="B27" s="1318">
        <f>margins!AT17</f>
        <v>1.625</v>
      </c>
      <c r="C27" s="1321">
        <v>96.37</v>
      </c>
      <c r="D27" s="1319">
        <v>96.37</v>
      </c>
      <c r="E27" s="1400">
        <v>96.37</v>
      </c>
      <c r="F27" s="1323">
        <v>96.37</v>
      </c>
      <c r="H27" s="1112" t="s">
        <v>198</v>
      </c>
      <c r="I27" s="1112" t="s">
        <v>489</v>
      </c>
      <c r="J27" s="1112" t="s">
        <v>490</v>
      </c>
      <c r="K27" s="1112" t="s">
        <v>491</v>
      </c>
      <c r="L27"/>
      <c r="M27"/>
      <c r="N27" s="1327"/>
      <c r="P27" s="581" t="s">
        <v>133</v>
      </c>
      <c r="Q27" s="432" t="s">
        <v>191</v>
      </c>
      <c r="R27" s="849">
        <f t="shared" si="0"/>
        <v>0</v>
      </c>
    </row>
    <row r="28" spans="1:18" s="936" customFormat="1" ht="14.25" customHeight="1">
      <c r="A28" s="1082"/>
      <c r="B28" s="1318">
        <f>margins!AT18</f>
        <v>1.75</v>
      </c>
      <c r="C28" s="1321">
        <v>96.84</v>
      </c>
      <c r="D28" s="1319">
        <v>96.84</v>
      </c>
      <c r="E28" s="1400">
        <v>96.84</v>
      </c>
      <c r="F28" s="1323">
        <v>96.84</v>
      </c>
      <c r="H28" s="1402" t="s">
        <v>777</v>
      </c>
      <c r="I28" s="1404">
        <v>2</v>
      </c>
      <c r="J28" s="1404">
        <v>13</v>
      </c>
      <c r="K28" s="1404">
        <v>15</v>
      </c>
      <c r="L28"/>
      <c r="M28"/>
      <c r="N28" s="1327"/>
      <c r="P28" s="581" t="s">
        <v>205</v>
      </c>
      <c r="Q28" s="432" t="s">
        <v>191</v>
      </c>
      <c r="R28" s="849">
        <f>IF(Q28=15,0,IF(Q28=30,I16, 0))</f>
        <v>0</v>
      </c>
    </row>
    <row r="29" spans="1:18" s="936" customFormat="1">
      <c r="A29" s="1082"/>
      <c r="B29" s="1318">
        <f>margins!AT19</f>
        <v>1.875</v>
      </c>
      <c r="C29" s="1321">
        <v>97.31</v>
      </c>
      <c r="D29" s="1319">
        <v>97.31</v>
      </c>
      <c r="E29" s="1400">
        <v>97.31</v>
      </c>
      <c r="F29" s="1323">
        <v>97.31</v>
      </c>
      <c r="H29" s="1402" t="s">
        <v>778</v>
      </c>
      <c r="I29" s="1404">
        <v>2</v>
      </c>
      <c r="J29" s="1404">
        <v>18</v>
      </c>
      <c r="K29" s="1404">
        <v>20</v>
      </c>
      <c r="L29"/>
      <c r="M29"/>
      <c r="N29" s="1316"/>
      <c r="P29" s="856" t="s">
        <v>206</v>
      </c>
      <c r="Q29" s="857"/>
      <c r="R29" s="864">
        <f>SUM(R18:R28)</f>
        <v>0</v>
      </c>
    </row>
    <row r="30" spans="1:18" s="936" customFormat="1" ht="15.75" thickBot="1">
      <c r="A30" s="1082"/>
      <c r="B30" s="1318">
        <f>margins!AT20</f>
        <v>2</v>
      </c>
      <c r="C30" s="1321">
        <v>97.78</v>
      </c>
      <c r="D30" s="1319">
        <v>97.78</v>
      </c>
      <c r="E30" s="1400">
        <v>97.78</v>
      </c>
      <c r="F30" s="1323">
        <v>97.78</v>
      </c>
      <c r="G30" s="1081"/>
      <c r="H30" s="1402" t="s">
        <v>779</v>
      </c>
      <c r="I30" s="1404">
        <v>2</v>
      </c>
      <c r="J30" s="1404">
        <v>23</v>
      </c>
      <c r="K30" s="1404">
        <v>25</v>
      </c>
      <c r="L30"/>
      <c r="M30"/>
      <c r="N30" s="1312"/>
      <c r="P30" s="858" t="s">
        <v>504</v>
      </c>
      <c r="Q30" s="859">
        <f>Q15+$L$18</f>
        <v>9.75</v>
      </c>
      <c r="R30" s="860"/>
    </row>
    <row r="31" spans="1:18" s="936" customFormat="1" ht="15.75" thickBot="1">
      <c r="A31" s="1082"/>
      <c r="B31" s="1318">
        <f>margins!AT21</f>
        <v>2.125</v>
      </c>
      <c r="C31" s="1321">
        <v>98.25</v>
      </c>
      <c r="D31" s="1319">
        <v>98.25</v>
      </c>
      <c r="E31" s="1400">
        <v>98.25</v>
      </c>
      <c r="F31" s="1323">
        <v>98.25</v>
      </c>
      <c r="G31" s="1081"/>
      <c r="H31" s="1402" t="s">
        <v>780</v>
      </c>
      <c r="I31" s="1404">
        <v>2</v>
      </c>
      <c r="J31" s="1404">
        <v>28</v>
      </c>
      <c r="K31" s="1404">
        <v>30</v>
      </c>
      <c r="L31"/>
      <c r="M31"/>
      <c r="N31" s="1312"/>
      <c r="P31" s="420"/>
      <c r="Q31" s="421"/>
      <c r="R31" s="430"/>
    </row>
    <row r="32" spans="1:18" s="936" customFormat="1" ht="15.75" thickBot="1">
      <c r="A32" s="1082"/>
      <c r="B32" s="1318">
        <f>margins!AT22</f>
        <v>2.25</v>
      </c>
      <c r="C32" s="1321">
        <v>98.72</v>
      </c>
      <c r="D32" s="1319">
        <v>98.72</v>
      </c>
      <c r="E32" s="1400">
        <v>98.72</v>
      </c>
      <c r="F32" s="1323">
        <v>98.72</v>
      </c>
      <c r="H32" s="1402" t="s">
        <v>777</v>
      </c>
      <c r="I32" s="1404">
        <v>3</v>
      </c>
      <c r="J32" s="1404">
        <v>12</v>
      </c>
      <c r="K32" s="1404">
        <v>15</v>
      </c>
      <c r="L32"/>
      <c r="M32"/>
      <c r="N32" s="940"/>
      <c r="P32" s="422" t="s">
        <v>207</v>
      </c>
      <c r="Q32" s="423"/>
      <c r="R32" s="584">
        <f>IF(ISNUMBER(MATCH("NA", R18:R28, 0)), "NA",MIN(I14,(R15+R29)))</f>
        <v>99.59</v>
      </c>
    </row>
    <row r="33" spans="1:18" s="936" customFormat="1" ht="15.75" thickBot="1">
      <c r="A33" s="1082"/>
      <c r="B33" s="1318">
        <f>margins!AT23</f>
        <v>2.375</v>
      </c>
      <c r="C33" s="1321">
        <v>99.19</v>
      </c>
      <c r="D33" s="1319">
        <v>99.19</v>
      </c>
      <c r="E33" s="1400">
        <v>99.19</v>
      </c>
      <c r="F33" s="1323">
        <v>99.19</v>
      </c>
      <c r="H33" s="1402" t="s">
        <v>778</v>
      </c>
      <c r="I33" s="1404">
        <v>3</v>
      </c>
      <c r="J33" s="1404">
        <v>17</v>
      </c>
      <c r="K33" s="1404">
        <v>20</v>
      </c>
      <c r="L33"/>
      <c r="M33"/>
      <c r="N33" s="940"/>
      <c r="P33" s="417"/>
      <c r="Q33" s="417"/>
      <c r="R33" s="417"/>
    </row>
    <row r="34" spans="1:18" s="936" customFormat="1" ht="15.75" thickBot="1">
      <c r="A34" s="1082"/>
      <c r="B34" s="1318">
        <f>margins!AT24</f>
        <v>2.5</v>
      </c>
      <c r="C34" s="1321">
        <v>99.59</v>
      </c>
      <c r="D34" s="1319">
        <v>99.59</v>
      </c>
      <c r="E34" s="1400">
        <v>99.59</v>
      </c>
      <c r="F34" s="1323">
        <v>99.59</v>
      </c>
      <c r="H34" s="1402" t="s">
        <v>779</v>
      </c>
      <c r="I34" s="1404">
        <v>3</v>
      </c>
      <c r="J34" s="1404">
        <v>22</v>
      </c>
      <c r="K34" s="1404">
        <v>25</v>
      </c>
      <c r="L34"/>
      <c r="M34"/>
      <c r="N34" s="940"/>
      <c r="P34" s="746" t="s">
        <v>501</v>
      </c>
      <c r="Q34" s="747"/>
      <c r="R34" s="748"/>
    </row>
    <row r="35" spans="1:18" s="936" customFormat="1">
      <c r="A35" s="1082"/>
      <c r="B35" s="1318">
        <f>margins!AT25</f>
        <v>2.625</v>
      </c>
      <c r="C35" s="1321">
        <v>99.97</v>
      </c>
      <c r="D35" s="1319">
        <v>99.97</v>
      </c>
      <c r="E35" s="1400">
        <v>99.97</v>
      </c>
      <c r="F35" s="1323">
        <v>99.97</v>
      </c>
      <c r="H35" s="1402" t="s">
        <v>780</v>
      </c>
      <c r="I35" s="1404">
        <v>3</v>
      </c>
      <c r="J35" s="1404">
        <v>27</v>
      </c>
      <c r="K35" s="1404">
        <v>30</v>
      </c>
      <c r="N35" s="940"/>
    </row>
    <row r="36" spans="1:18" s="936" customFormat="1">
      <c r="A36" s="1082"/>
      <c r="B36" s="1318">
        <f>margins!AT26</f>
        <v>2.75</v>
      </c>
      <c r="C36" s="1321">
        <v>100.34</v>
      </c>
      <c r="D36" s="1319">
        <v>100.34</v>
      </c>
      <c r="E36" s="1400">
        <v>100.34</v>
      </c>
      <c r="F36" s="1323">
        <v>100.34</v>
      </c>
      <c r="H36" s="1402" t="s">
        <v>777</v>
      </c>
      <c r="I36" s="1404">
        <v>5</v>
      </c>
      <c r="J36" s="1404">
        <v>10</v>
      </c>
      <c r="K36" s="1404">
        <v>15</v>
      </c>
      <c r="N36" s="940"/>
    </row>
    <row r="37" spans="1:18" s="936" customFormat="1">
      <c r="A37" s="1082"/>
      <c r="B37" s="1318">
        <f>margins!AT27</f>
        <v>2.875</v>
      </c>
      <c r="C37" s="1321">
        <v>100.72</v>
      </c>
      <c r="D37" s="1319">
        <v>100.72</v>
      </c>
      <c r="E37" s="1400">
        <v>100.72</v>
      </c>
      <c r="F37" s="1323">
        <v>100.72</v>
      </c>
      <c r="H37" s="1402" t="s">
        <v>778</v>
      </c>
      <c r="I37" s="1404">
        <v>5</v>
      </c>
      <c r="J37" s="1404">
        <v>15</v>
      </c>
      <c r="K37" s="1404">
        <v>20</v>
      </c>
      <c r="N37" s="940"/>
    </row>
    <row r="38" spans="1:18" s="936" customFormat="1">
      <c r="A38" s="1082"/>
      <c r="B38" s="1318">
        <f>margins!AT28</f>
        <v>3</v>
      </c>
      <c r="C38" s="1321">
        <v>101.09</v>
      </c>
      <c r="D38" s="1319">
        <v>101.09</v>
      </c>
      <c r="E38" s="1400">
        <v>101.09</v>
      </c>
      <c r="F38" s="1323">
        <v>101.09</v>
      </c>
      <c r="H38" s="1402" t="s">
        <v>779</v>
      </c>
      <c r="I38" s="1404">
        <v>5</v>
      </c>
      <c r="J38" s="1404">
        <v>20</v>
      </c>
      <c r="K38" s="1404">
        <v>25</v>
      </c>
      <c r="N38" s="940"/>
    </row>
    <row r="39" spans="1:18" s="936" customFormat="1" ht="15.75" thickBot="1">
      <c r="A39" s="1082"/>
      <c r="B39" s="1318">
        <f>margins!AT29</f>
        <v>3.125</v>
      </c>
      <c r="C39" s="1321">
        <v>101.44</v>
      </c>
      <c r="D39" s="1319">
        <v>101.44</v>
      </c>
      <c r="E39" s="1400">
        <v>101.44</v>
      </c>
      <c r="F39" s="1323">
        <v>101.44</v>
      </c>
      <c r="H39" s="1403" t="s">
        <v>780</v>
      </c>
      <c r="I39" s="1405">
        <v>5</v>
      </c>
      <c r="J39" s="1405">
        <v>25</v>
      </c>
      <c r="K39" s="1405">
        <v>30</v>
      </c>
      <c r="N39" s="940"/>
    </row>
    <row r="40" spans="1:18" s="936" customFormat="1">
      <c r="A40" s="1082"/>
      <c r="B40" s="1318">
        <f>margins!AT30</f>
        <v>3.25</v>
      </c>
      <c r="C40" s="1321">
        <v>101.75</v>
      </c>
      <c r="D40" s="1319">
        <v>101.75</v>
      </c>
      <c r="E40" s="1400">
        <v>101.75</v>
      </c>
      <c r="F40" s="1323">
        <v>101.75</v>
      </c>
      <c r="N40" s="940"/>
    </row>
    <row r="41" spans="1:18" s="936" customFormat="1">
      <c r="A41" s="1082"/>
      <c r="B41" s="1318">
        <f>margins!AT31</f>
        <v>3.375</v>
      </c>
      <c r="C41" s="1321">
        <v>102.03</v>
      </c>
      <c r="D41" s="1319">
        <v>102.03</v>
      </c>
      <c r="E41" s="1400">
        <v>102.03</v>
      </c>
      <c r="F41" s="1323">
        <v>102.03</v>
      </c>
      <c r="N41" s="940"/>
    </row>
    <row r="42" spans="1:18" s="936" customFormat="1">
      <c r="A42" s="1082"/>
      <c r="B42" s="1318">
        <f>margins!AT32</f>
        <v>3.5</v>
      </c>
      <c r="C42" s="1321">
        <v>102.28</v>
      </c>
      <c r="D42" s="1319">
        <v>102.28</v>
      </c>
      <c r="E42" s="1400">
        <v>102.28</v>
      </c>
      <c r="F42" s="1323">
        <v>102.28</v>
      </c>
      <c r="N42" s="940"/>
    </row>
    <row r="43" spans="1:18" s="936" customFormat="1">
      <c r="A43" s="1082"/>
      <c r="B43" s="1318">
        <f>margins!AT33</f>
        <v>3.625</v>
      </c>
      <c r="C43" s="1321">
        <v>102.5</v>
      </c>
      <c r="D43" s="1319">
        <v>102.5</v>
      </c>
      <c r="E43" s="1400">
        <v>102.5</v>
      </c>
      <c r="F43" s="1323">
        <v>102.5</v>
      </c>
      <c r="N43" s="940"/>
    </row>
    <row r="44" spans="1:18" s="936" customFormat="1">
      <c r="A44" s="1082"/>
      <c r="B44" s="1318">
        <f>margins!AT34</f>
        <v>3.75</v>
      </c>
      <c r="C44" s="1321">
        <v>102.69</v>
      </c>
      <c r="D44" s="1319">
        <v>102.69</v>
      </c>
      <c r="E44" s="1400">
        <v>102.69</v>
      </c>
      <c r="F44" s="1323">
        <v>102.69</v>
      </c>
      <c r="N44" s="940"/>
    </row>
    <row r="45" spans="1:18" s="936" customFormat="1">
      <c r="A45" s="1082"/>
      <c r="B45" s="1318">
        <f>margins!AT35</f>
        <v>3.875</v>
      </c>
      <c r="C45" s="1321">
        <v>102.84</v>
      </c>
      <c r="D45" s="1319">
        <v>102.84</v>
      </c>
      <c r="E45" s="1400">
        <v>102.84</v>
      </c>
      <c r="F45" s="1323">
        <v>102.84</v>
      </c>
      <c r="N45" s="940"/>
    </row>
    <row r="46" spans="1:18" s="936" customFormat="1">
      <c r="A46" s="1082"/>
      <c r="B46" s="1318">
        <f>margins!AT36</f>
        <v>4</v>
      </c>
      <c r="C46" s="1321">
        <v>103</v>
      </c>
      <c r="D46" s="1319">
        <v>103</v>
      </c>
      <c r="E46" s="1400">
        <v>103</v>
      </c>
      <c r="F46" s="1323">
        <v>103</v>
      </c>
      <c r="N46" s="940"/>
    </row>
    <row r="47" spans="1:18" s="936" customFormat="1">
      <c r="A47" s="1082"/>
      <c r="B47" s="1318">
        <f>margins!AT37</f>
        <v>4.125</v>
      </c>
      <c r="C47" s="1321">
        <v>103.16</v>
      </c>
      <c r="D47" s="1319">
        <v>103.16</v>
      </c>
      <c r="E47" s="1400">
        <v>103.16</v>
      </c>
      <c r="F47" s="1323">
        <v>103.16</v>
      </c>
      <c r="N47" s="940"/>
    </row>
    <row r="48" spans="1:18" s="936" customFormat="1">
      <c r="A48" s="1082"/>
      <c r="B48" s="1318">
        <f>margins!AT38</f>
        <v>4.25</v>
      </c>
      <c r="C48" s="1321">
        <v>103.28</v>
      </c>
      <c r="D48" s="1319">
        <v>103.28</v>
      </c>
      <c r="E48" s="1400">
        <v>103.28</v>
      </c>
      <c r="F48" s="1323">
        <v>103.28</v>
      </c>
      <c r="N48" s="940"/>
    </row>
    <row r="49" spans="1:14" s="936" customFormat="1">
      <c r="A49" s="1082"/>
      <c r="B49" s="1318">
        <f>margins!AT39</f>
        <v>4.375</v>
      </c>
      <c r="C49" s="1321">
        <v>103.34</v>
      </c>
      <c r="D49" s="1319">
        <v>103.34</v>
      </c>
      <c r="E49" s="1400">
        <v>103.34</v>
      </c>
      <c r="F49" s="1323">
        <v>103.34</v>
      </c>
      <c r="N49" s="940"/>
    </row>
    <row r="50" spans="1:14" s="936" customFormat="1">
      <c r="A50" s="1082"/>
      <c r="B50" s="1318">
        <f>margins!AT40</f>
        <v>4.5</v>
      </c>
      <c r="C50" s="1321">
        <v>103.37</v>
      </c>
      <c r="D50" s="1319">
        <v>103.37</v>
      </c>
      <c r="E50" s="1400">
        <v>103.37</v>
      </c>
      <c r="F50" s="1323">
        <v>103.37</v>
      </c>
      <c r="N50" s="940"/>
    </row>
    <row r="51" spans="1:14" s="936" customFormat="1">
      <c r="A51" s="1082"/>
      <c r="B51" s="1318">
        <f>margins!AT41</f>
        <v>4.625</v>
      </c>
      <c r="C51" s="1321">
        <v>103.39</v>
      </c>
      <c r="D51" s="1319">
        <v>103.39</v>
      </c>
      <c r="E51" s="1400">
        <v>103.39</v>
      </c>
      <c r="F51" s="1323">
        <v>103.39</v>
      </c>
      <c r="N51" s="940"/>
    </row>
    <row r="52" spans="1:14" s="936" customFormat="1">
      <c r="A52" s="1082"/>
      <c r="B52" s="1318">
        <f>margins!AT42</f>
        <v>4.75</v>
      </c>
      <c r="C52" s="1321">
        <v>103.41</v>
      </c>
      <c r="D52" s="1319">
        <v>103.41</v>
      </c>
      <c r="E52" s="1400">
        <v>103.41</v>
      </c>
      <c r="F52" s="1323">
        <v>103.41</v>
      </c>
      <c r="N52" s="940"/>
    </row>
    <row r="53" spans="1:14" s="936" customFormat="1">
      <c r="A53" s="1082"/>
      <c r="B53" s="1318">
        <f>margins!AT43</f>
        <v>4.875</v>
      </c>
      <c r="C53" s="1321">
        <v>103.43</v>
      </c>
      <c r="D53" s="1319">
        <v>103.43</v>
      </c>
      <c r="E53" s="1400">
        <v>103.43</v>
      </c>
      <c r="F53" s="1323">
        <v>103.43</v>
      </c>
      <c r="N53" s="940"/>
    </row>
    <row r="54" spans="1:14" s="936" customFormat="1">
      <c r="A54" s="1082"/>
      <c r="B54" s="1318">
        <f>margins!AT44</f>
        <v>5</v>
      </c>
      <c r="C54" s="1321">
        <v>103.45</v>
      </c>
      <c r="D54" s="1319">
        <v>103.45</v>
      </c>
      <c r="E54" s="1400">
        <v>103.45</v>
      </c>
      <c r="F54" s="1323">
        <v>103.45</v>
      </c>
      <c r="N54" s="940"/>
    </row>
    <row r="55" spans="1:14" s="936" customFormat="1">
      <c r="A55" s="1082"/>
      <c r="B55" s="1318">
        <f>margins!AT45</f>
        <v>5.125</v>
      </c>
      <c r="C55" s="1321">
        <v>103.47</v>
      </c>
      <c r="D55" s="1319">
        <v>103.47</v>
      </c>
      <c r="E55" s="1400">
        <v>103.47</v>
      </c>
      <c r="F55" s="1323">
        <v>103.47</v>
      </c>
      <c r="N55" s="940"/>
    </row>
    <row r="56" spans="1:14" s="936" customFormat="1">
      <c r="A56" s="1082"/>
      <c r="B56" s="1318">
        <f>margins!AT46</f>
        <v>5.25</v>
      </c>
      <c r="C56" s="1321">
        <v>103.49000000000001</v>
      </c>
      <c r="D56" s="1319">
        <v>103.49000000000001</v>
      </c>
      <c r="E56" s="1400">
        <v>103.49000000000001</v>
      </c>
      <c r="F56" s="1323">
        <v>103.49000000000001</v>
      </c>
      <c r="N56" s="940"/>
    </row>
    <row r="57" spans="1:14" s="936" customFormat="1">
      <c r="A57" s="1082"/>
      <c r="B57" s="1318">
        <f>margins!AT47</f>
        <v>5.375</v>
      </c>
      <c r="C57" s="1321">
        <v>103.51</v>
      </c>
      <c r="D57" s="1319">
        <v>103.51</v>
      </c>
      <c r="E57" s="1400">
        <v>103.51</v>
      </c>
      <c r="F57" s="1323">
        <v>103.51</v>
      </c>
      <c r="N57" s="940"/>
    </row>
    <row r="58" spans="1:14" s="936" customFormat="1">
      <c r="A58" s="1082"/>
      <c r="B58" s="1318">
        <f>margins!AT48</f>
        <v>5.5</v>
      </c>
      <c r="C58" s="1321">
        <v>103.52</v>
      </c>
      <c r="D58" s="1319">
        <v>103.52</v>
      </c>
      <c r="E58" s="1400">
        <v>103.52</v>
      </c>
      <c r="F58" s="1323">
        <v>103.52</v>
      </c>
      <c r="N58" s="940"/>
    </row>
    <row r="59" spans="1:14" s="936" customFormat="1">
      <c r="A59" s="1082"/>
      <c r="B59" s="1318">
        <f>margins!AT49</f>
        <v>5.625</v>
      </c>
      <c r="C59" s="1321">
        <v>103.54</v>
      </c>
      <c r="D59" s="1319">
        <v>103.54</v>
      </c>
      <c r="E59" s="1400">
        <v>103.54</v>
      </c>
      <c r="F59" s="1323">
        <v>103.54</v>
      </c>
      <c r="N59" s="940"/>
    </row>
    <row r="60" spans="1:14" s="936" customFormat="1" ht="15.75" thickBot="1">
      <c r="A60" s="1082"/>
      <c r="B60" s="1328">
        <f>margins!AT50</f>
        <v>5.75</v>
      </c>
      <c r="C60" s="1329">
        <v>103.56</v>
      </c>
      <c r="D60" s="1361">
        <v>103.56</v>
      </c>
      <c r="E60" s="1401">
        <v>103.56</v>
      </c>
      <c r="F60" s="1330">
        <v>103.56</v>
      </c>
      <c r="N60" s="940"/>
    </row>
    <row r="61" spans="1:14" s="936" customFormat="1">
      <c r="A61" s="1082"/>
      <c r="B61" s="1114"/>
      <c r="C61" s="1113"/>
      <c r="D61" s="1214"/>
      <c r="N61" s="940"/>
    </row>
    <row r="62" spans="1:14" s="936" customFormat="1" ht="15.75" thickBot="1">
      <c r="A62" s="1082"/>
      <c r="G62" s="1081"/>
      <c r="H62" s="1080"/>
      <c r="N62" s="940"/>
    </row>
    <row r="63" spans="1:14" s="936" customFormat="1" ht="15.75" thickBot="1">
      <c r="A63" s="1082"/>
      <c r="B63" s="1081" t="s">
        <v>216</v>
      </c>
      <c r="D63" s="1083"/>
      <c r="E63" s="1736" t="s">
        <v>298</v>
      </c>
      <c r="F63" s="1737"/>
      <c r="G63" s="1737"/>
      <c r="H63" s="1737"/>
      <c r="I63" s="1737"/>
      <c r="J63" s="1737"/>
      <c r="K63" s="1737"/>
      <c r="L63" s="1737"/>
      <c r="M63" s="1738"/>
      <c r="N63" s="940"/>
    </row>
    <row r="64" spans="1:14" s="936" customFormat="1" ht="15.75" thickBot="1">
      <c r="A64" s="1082"/>
      <c r="B64" s="1286"/>
      <c r="C64" s="1362"/>
      <c r="D64" s="1326" t="s">
        <v>191</v>
      </c>
      <c r="E64" s="1197" t="s">
        <v>15</v>
      </c>
      <c r="F64" s="1195" t="s">
        <v>16</v>
      </c>
      <c r="G64" s="1195" t="s">
        <v>17</v>
      </c>
      <c r="H64" s="1195" t="s">
        <v>18</v>
      </c>
      <c r="I64" s="1195" t="s">
        <v>19</v>
      </c>
      <c r="J64" s="1195" t="s">
        <v>20</v>
      </c>
      <c r="K64" s="1195" t="s">
        <v>21</v>
      </c>
      <c r="L64" s="1195" t="s">
        <v>22</v>
      </c>
      <c r="M64" s="1196" t="s">
        <v>23</v>
      </c>
      <c r="N64" s="940"/>
    </row>
    <row r="65" spans="1:14" s="936" customFormat="1">
      <c r="A65" s="1082"/>
      <c r="B65" s="1757" t="s">
        <v>486</v>
      </c>
      <c r="C65" s="1715" t="s">
        <v>37</v>
      </c>
      <c r="D65" s="1716"/>
      <c r="E65" s="1092">
        <v>2.5</v>
      </c>
      <c r="F65" s="1091">
        <v>2.5</v>
      </c>
      <c r="G65" s="1091">
        <v>2</v>
      </c>
      <c r="H65" s="1091">
        <v>2</v>
      </c>
      <c r="I65" s="1091">
        <v>1.5</v>
      </c>
      <c r="J65" s="1091">
        <v>0.5</v>
      </c>
      <c r="K65" s="1091">
        <v>0</v>
      </c>
      <c r="L65" s="1091">
        <v>-3.5</v>
      </c>
      <c r="M65" s="1090">
        <v>-4.5</v>
      </c>
      <c r="N65" s="940"/>
    </row>
    <row r="66" spans="1:14" s="936" customFormat="1">
      <c r="A66" s="1082"/>
      <c r="B66" s="1758"/>
      <c r="C66" s="1706" t="s">
        <v>36</v>
      </c>
      <c r="D66" s="1707"/>
      <c r="E66" s="1154">
        <v>1.5</v>
      </c>
      <c r="F66" s="1153">
        <v>1.5</v>
      </c>
      <c r="G66" s="1153">
        <v>1.5</v>
      </c>
      <c r="H66" s="1153">
        <v>1.5</v>
      </c>
      <c r="I66" s="1153">
        <v>1</v>
      </c>
      <c r="J66" s="1153">
        <v>0</v>
      </c>
      <c r="K66" s="1153">
        <v>-1</v>
      </c>
      <c r="L66" s="1153">
        <v>-5</v>
      </c>
      <c r="M66" s="1152">
        <v>-6</v>
      </c>
      <c r="N66" s="940"/>
    </row>
    <row r="67" spans="1:14" s="936" customFormat="1">
      <c r="A67" s="1082"/>
      <c r="B67" s="1758"/>
      <c r="C67" s="1706" t="s">
        <v>24</v>
      </c>
      <c r="D67" s="1707"/>
      <c r="E67" s="1154">
        <v>1</v>
      </c>
      <c r="F67" s="1153">
        <v>1</v>
      </c>
      <c r="G67" s="1153">
        <v>1</v>
      </c>
      <c r="H67" s="1153">
        <v>1</v>
      </c>
      <c r="I67" s="1153">
        <v>0</v>
      </c>
      <c r="J67" s="1153">
        <v>0</v>
      </c>
      <c r="K67" s="1153">
        <v>-2</v>
      </c>
      <c r="L67" s="1153">
        <v>-6</v>
      </c>
      <c r="M67" s="1152">
        <v>-8</v>
      </c>
      <c r="N67" s="940"/>
    </row>
    <row r="68" spans="1:14" s="936" customFormat="1">
      <c r="A68" s="1082"/>
      <c r="B68" s="1758"/>
      <c r="C68" s="1706" t="s">
        <v>25</v>
      </c>
      <c r="D68" s="1707"/>
      <c r="E68" s="1154">
        <v>0</v>
      </c>
      <c r="F68" s="1153">
        <v>0</v>
      </c>
      <c r="G68" s="1153">
        <v>0</v>
      </c>
      <c r="H68" s="1153">
        <v>0</v>
      </c>
      <c r="I68" s="1153">
        <v>0</v>
      </c>
      <c r="J68" s="1153">
        <v>-1</v>
      </c>
      <c r="K68" s="1153">
        <v>-3</v>
      </c>
      <c r="L68" s="1153">
        <v>-7.5</v>
      </c>
      <c r="M68" s="1152" t="s">
        <v>14</v>
      </c>
      <c r="N68" s="940"/>
    </row>
    <row r="69" spans="1:14" s="936" customFormat="1">
      <c r="A69" s="1082"/>
      <c r="B69" s="1758"/>
      <c r="C69" s="1706" t="s">
        <v>26</v>
      </c>
      <c r="D69" s="1707"/>
      <c r="E69" s="1154">
        <v>-0.5</v>
      </c>
      <c r="F69" s="1153">
        <v>-0.5</v>
      </c>
      <c r="G69" s="1153">
        <v>-0.5</v>
      </c>
      <c r="H69" s="1153">
        <v>-1</v>
      </c>
      <c r="I69" s="1153">
        <v>-1.5</v>
      </c>
      <c r="J69" s="1153">
        <v>-2</v>
      </c>
      <c r="K69" s="1153">
        <v>-5.5</v>
      </c>
      <c r="L69" s="1153">
        <v>-8.5</v>
      </c>
      <c r="M69" s="1152" t="s">
        <v>14</v>
      </c>
      <c r="N69" s="940"/>
    </row>
    <row r="70" spans="1:14" s="936" customFormat="1" ht="15.75" thickBot="1">
      <c r="A70" s="1082"/>
      <c r="B70" s="1759"/>
      <c r="C70" s="1712" t="s">
        <v>27</v>
      </c>
      <c r="D70" s="1713"/>
      <c r="E70" s="1088">
        <v>-0.75</v>
      </c>
      <c r="F70" s="1087">
        <v>-0.75</v>
      </c>
      <c r="G70" s="1087">
        <v>-1</v>
      </c>
      <c r="H70" s="1087">
        <v>-1.5</v>
      </c>
      <c r="I70" s="1087">
        <v>-2</v>
      </c>
      <c r="J70" s="1087">
        <v>-3</v>
      </c>
      <c r="K70" s="1087" t="s">
        <v>14</v>
      </c>
      <c r="L70" s="1087" t="s">
        <v>14</v>
      </c>
      <c r="M70" s="1086" t="s">
        <v>14</v>
      </c>
      <c r="N70" s="940"/>
    </row>
    <row r="71" spans="1:14" s="936" customFormat="1" ht="15.75" thickBot="1">
      <c r="A71" s="1082"/>
      <c r="B71" s="1761" t="s">
        <v>718</v>
      </c>
      <c r="C71" s="2045"/>
      <c r="D71" s="1824"/>
      <c r="E71" s="1302">
        <v>0</v>
      </c>
      <c r="F71" s="1158">
        <v>0</v>
      </c>
      <c r="G71" s="1158">
        <v>0</v>
      </c>
      <c r="H71" s="1158">
        <v>0</v>
      </c>
      <c r="I71" s="1158">
        <v>0</v>
      </c>
      <c r="J71" s="1158">
        <v>0</v>
      </c>
      <c r="K71" s="1158">
        <v>0</v>
      </c>
      <c r="L71" s="1158">
        <v>0</v>
      </c>
      <c r="M71" s="1279">
        <v>0</v>
      </c>
      <c r="N71" s="940"/>
    </row>
    <row r="72" spans="1:14" s="936" customFormat="1">
      <c r="A72" s="1082"/>
      <c r="B72" s="1772" t="s">
        <v>509</v>
      </c>
      <c r="C72" s="1715" t="s">
        <v>37</v>
      </c>
      <c r="D72" s="1717"/>
      <c r="E72" s="1092">
        <v>2</v>
      </c>
      <c r="F72" s="1091">
        <v>2</v>
      </c>
      <c r="G72" s="1091">
        <v>1.5</v>
      </c>
      <c r="H72" s="1091">
        <v>1.5</v>
      </c>
      <c r="I72" s="1091">
        <v>1</v>
      </c>
      <c r="J72" s="1091">
        <v>0</v>
      </c>
      <c r="K72" s="1091">
        <v>-0.5</v>
      </c>
      <c r="L72" s="1091" t="s">
        <v>14</v>
      </c>
      <c r="M72" s="1090" t="s">
        <v>14</v>
      </c>
      <c r="N72" s="940"/>
    </row>
    <row r="73" spans="1:14" s="936" customFormat="1">
      <c r="A73" s="1082"/>
      <c r="B73" s="1760"/>
      <c r="C73" s="1706" t="s">
        <v>36</v>
      </c>
      <c r="D73" s="1708"/>
      <c r="E73" s="1154">
        <v>1</v>
      </c>
      <c r="F73" s="1153">
        <v>1</v>
      </c>
      <c r="G73" s="1153">
        <v>1</v>
      </c>
      <c r="H73" s="1153">
        <v>1</v>
      </c>
      <c r="I73" s="1153">
        <v>0.5</v>
      </c>
      <c r="J73" s="1153">
        <v>-0.5</v>
      </c>
      <c r="K73" s="1153">
        <v>-1.5</v>
      </c>
      <c r="L73" s="1153" t="s">
        <v>14</v>
      </c>
      <c r="M73" s="1152" t="s">
        <v>14</v>
      </c>
      <c r="N73" s="940"/>
    </row>
    <row r="74" spans="1:14" s="936" customFormat="1">
      <c r="A74" s="1082"/>
      <c r="B74" s="1760"/>
      <c r="C74" s="1706" t="s">
        <v>24</v>
      </c>
      <c r="D74" s="1708"/>
      <c r="E74" s="1154">
        <v>0.5</v>
      </c>
      <c r="F74" s="1153">
        <v>0.5</v>
      </c>
      <c r="G74" s="1153">
        <v>0.5</v>
      </c>
      <c r="H74" s="1153">
        <v>0.5</v>
      </c>
      <c r="I74" s="1153">
        <v>-0.5</v>
      </c>
      <c r="J74" s="1153">
        <v>-0.5</v>
      </c>
      <c r="K74" s="1153">
        <v>-2.5</v>
      </c>
      <c r="L74" s="1153" t="s">
        <v>14</v>
      </c>
      <c r="M74" s="1152" t="s">
        <v>14</v>
      </c>
      <c r="N74" s="940"/>
    </row>
    <row r="75" spans="1:14" s="936" customFormat="1">
      <c r="A75" s="1082"/>
      <c r="B75" s="1760"/>
      <c r="C75" s="1706" t="s">
        <v>25</v>
      </c>
      <c r="D75" s="1708"/>
      <c r="E75" s="1154">
        <v>-0.5</v>
      </c>
      <c r="F75" s="1153">
        <v>-0.5</v>
      </c>
      <c r="G75" s="1153">
        <v>-0.5</v>
      </c>
      <c r="H75" s="1153">
        <v>-0.5</v>
      </c>
      <c r="I75" s="1153">
        <v>-0.5</v>
      </c>
      <c r="J75" s="1153">
        <v>-1.5</v>
      </c>
      <c r="K75" s="1153" t="s">
        <v>14</v>
      </c>
      <c r="L75" s="1153" t="s">
        <v>14</v>
      </c>
      <c r="M75" s="1152" t="s">
        <v>14</v>
      </c>
      <c r="N75" s="940"/>
    </row>
    <row r="76" spans="1:14" s="936" customFormat="1">
      <c r="A76" s="1082"/>
      <c r="B76" s="1760"/>
      <c r="C76" s="1706" t="s">
        <v>26</v>
      </c>
      <c r="D76" s="1708"/>
      <c r="E76" s="1154">
        <v>-1</v>
      </c>
      <c r="F76" s="1153">
        <v>-1</v>
      </c>
      <c r="G76" s="1153">
        <v>-1</v>
      </c>
      <c r="H76" s="1153">
        <v>-1.5</v>
      </c>
      <c r="I76" s="1153">
        <v>-2</v>
      </c>
      <c r="J76" s="1153">
        <v>-2.5</v>
      </c>
      <c r="K76" s="1153" t="s">
        <v>14</v>
      </c>
      <c r="L76" s="1153" t="s">
        <v>14</v>
      </c>
      <c r="M76" s="1152" t="s">
        <v>14</v>
      </c>
      <c r="N76" s="940"/>
    </row>
    <row r="77" spans="1:14" s="936" customFormat="1" ht="15.75" thickBot="1">
      <c r="A77" s="1082"/>
      <c r="B77" s="1773"/>
      <c r="C77" s="1712" t="s">
        <v>27</v>
      </c>
      <c r="D77" s="1714"/>
      <c r="E77" s="1088" t="s">
        <v>14</v>
      </c>
      <c r="F77" s="1087" t="s">
        <v>14</v>
      </c>
      <c r="G77" s="1087" t="s">
        <v>14</v>
      </c>
      <c r="H77" s="1087" t="s">
        <v>14</v>
      </c>
      <c r="I77" s="1087" t="s">
        <v>14</v>
      </c>
      <c r="J77" s="1087" t="s">
        <v>14</v>
      </c>
      <c r="K77" s="1087" t="s">
        <v>14</v>
      </c>
      <c r="L77" s="1087" t="s">
        <v>14</v>
      </c>
      <c r="M77" s="1086" t="s">
        <v>14</v>
      </c>
      <c r="N77" s="940"/>
    </row>
    <row r="78" spans="1:14" s="936" customFormat="1" ht="15.75" thickBot="1">
      <c r="A78" s="1082"/>
      <c r="B78" s="1761" t="s">
        <v>719</v>
      </c>
      <c r="C78" s="2045"/>
      <c r="D78" s="1824"/>
      <c r="E78" s="1302">
        <v>-1</v>
      </c>
      <c r="F78" s="1158">
        <v>-1</v>
      </c>
      <c r="G78" s="1158">
        <v>-1</v>
      </c>
      <c r="H78" s="1158">
        <v>-1</v>
      </c>
      <c r="I78" s="1158">
        <v>-1</v>
      </c>
      <c r="J78" s="1158">
        <v>-1</v>
      </c>
      <c r="K78" s="1158">
        <v>-1</v>
      </c>
      <c r="L78" s="1158" t="s">
        <v>14</v>
      </c>
      <c r="M78" s="1279" t="s">
        <v>14</v>
      </c>
      <c r="N78" s="940"/>
    </row>
    <row r="79" spans="1:14" s="936" customFormat="1">
      <c r="A79" s="1082"/>
      <c r="B79" s="1757" t="s">
        <v>492</v>
      </c>
      <c r="C79" s="1774">
        <v>24</v>
      </c>
      <c r="D79" s="1776"/>
      <c r="E79" s="1092">
        <v>2</v>
      </c>
      <c r="F79" s="1091">
        <v>2</v>
      </c>
      <c r="G79" s="1091">
        <v>2</v>
      </c>
      <c r="H79" s="1091">
        <v>2</v>
      </c>
      <c r="I79" s="1091">
        <v>2</v>
      </c>
      <c r="J79" s="1091">
        <v>2</v>
      </c>
      <c r="K79" s="1091">
        <v>2</v>
      </c>
      <c r="L79" s="1091">
        <v>0</v>
      </c>
      <c r="M79" s="1090">
        <v>0</v>
      </c>
      <c r="N79" s="940"/>
    </row>
    <row r="80" spans="1:14" s="936" customFormat="1">
      <c r="A80" s="1082"/>
      <c r="B80" s="1758"/>
      <c r="C80" s="1778">
        <v>36</v>
      </c>
      <c r="D80" s="1824"/>
      <c r="E80" s="1154">
        <v>1.5</v>
      </c>
      <c r="F80" s="1153">
        <v>1.5</v>
      </c>
      <c r="G80" s="1153">
        <v>1.5</v>
      </c>
      <c r="H80" s="1153">
        <v>1.5</v>
      </c>
      <c r="I80" s="1153">
        <v>1.5</v>
      </c>
      <c r="J80" s="1153">
        <v>1.5</v>
      </c>
      <c r="K80" s="1153">
        <v>1.5</v>
      </c>
      <c r="L80" s="1153">
        <v>0</v>
      </c>
      <c r="M80" s="1152">
        <v>0</v>
      </c>
      <c r="N80" s="940"/>
    </row>
    <row r="81" spans="1:14" s="936" customFormat="1" ht="15.75" thickBot="1">
      <c r="A81" s="1082"/>
      <c r="B81" s="1759"/>
      <c r="C81" s="1709">
        <v>60</v>
      </c>
      <c r="D81" s="1711"/>
      <c r="E81" s="1088">
        <v>0</v>
      </c>
      <c r="F81" s="1087">
        <v>0</v>
      </c>
      <c r="G81" s="1087">
        <v>0</v>
      </c>
      <c r="H81" s="1087">
        <v>0</v>
      </c>
      <c r="I81" s="1087">
        <v>0</v>
      </c>
      <c r="J81" s="1087">
        <v>0</v>
      </c>
      <c r="K81" s="1087">
        <v>0</v>
      </c>
      <c r="L81" s="1087">
        <v>0</v>
      </c>
      <c r="M81" s="1086">
        <v>0</v>
      </c>
      <c r="N81" s="940"/>
    </row>
    <row r="82" spans="1:14" s="936" customFormat="1">
      <c r="A82" s="1082"/>
      <c r="B82" s="1757" t="s">
        <v>45</v>
      </c>
      <c r="C82" s="2045" t="s">
        <v>374</v>
      </c>
      <c r="D82" s="2045"/>
      <c r="E82" s="1154">
        <v>0</v>
      </c>
      <c r="F82" s="1153">
        <v>0</v>
      </c>
      <c r="G82" s="1153">
        <v>0</v>
      </c>
      <c r="H82" s="1153">
        <v>0</v>
      </c>
      <c r="I82" s="1153">
        <v>0</v>
      </c>
      <c r="J82" s="1153">
        <v>0</v>
      </c>
      <c r="K82" s="1153">
        <v>0</v>
      </c>
      <c r="L82" s="1153">
        <v>0</v>
      </c>
      <c r="M82" s="1152">
        <v>0</v>
      </c>
      <c r="N82" s="940"/>
    </row>
    <row r="83" spans="1:14" s="936" customFormat="1">
      <c r="A83" s="1082"/>
      <c r="B83" s="1758"/>
      <c r="C83" s="2045" t="s">
        <v>375</v>
      </c>
      <c r="D83" s="2045"/>
      <c r="E83" s="1154">
        <v>0</v>
      </c>
      <c r="F83" s="1153">
        <v>0</v>
      </c>
      <c r="G83" s="1153">
        <v>0</v>
      </c>
      <c r="H83" s="1153">
        <v>-0.125</v>
      </c>
      <c r="I83" s="1153">
        <v>-0.125</v>
      </c>
      <c r="J83" s="1153">
        <v>-0.125</v>
      </c>
      <c r="K83" s="1153">
        <v>-0.125</v>
      </c>
      <c r="L83" s="1153">
        <v>-0.125</v>
      </c>
      <c r="M83" s="1152">
        <v>-0.125</v>
      </c>
      <c r="N83" s="940"/>
    </row>
    <row r="84" spans="1:14" s="936" customFormat="1" ht="15" customHeight="1" thickBot="1">
      <c r="A84" s="1082"/>
      <c r="B84" s="1759"/>
      <c r="C84" s="2045" t="s">
        <v>376</v>
      </c>
      <c r="D84" s="1824"/>
      <c r="E84" s="1302">
        <v>0</v>
      </c>
      <c r="F84" s="1158">
        <v>0</v>
      </c>
      <c r="G84" s="1158">
        <v>0</v>
      </c>
      <c r="H84" s="1158">
        <v>-0.125</v>
      </c>
      <c r="I84" s="1158">
        <v>-0.125</v>
      </c>
      <c r="J84" s="1158">
        <v>-0.25</v>
      </c>
      <c r="K84" s="1158">
        <v>-0.25</v>
      </c>
      <c r="L84" s="1158" t="s">
        <v>14</v>
      </c>
      <c r="M84" s="1279" t="s">
        <v>14</v>
      </c>
      <c r="N84" s="1279"/>
    </row>
    <row r="85" spans="1:14" s="936" customFormat="1">
      <c r="A85" s="1082"/>
      <c r="B85" s="1772" t="s">
        <v>47</v>
      </c>
      <c r="C85" s="1715" t="s">
        <v>378</v>
      </c>
      <c r="D85" s="1717"/>
      <c r="E85" s="1092">
        <v>-0.125</v>
      </c>
      <c r="F85" s="1091">
        <v>-0.125</v>
      </c>
      <c r="G85" s="1091">
        <v>-0.125</v>
      </c>
      <c r="H85" s="1091">
        <v>-0.125</v>
      </c>
      <c r="I85" s="1091">
        <v>-0.125</v>
      </c>
      <c r="J85" s="1091">
        <v>-0.125</v>
      </c>
      <c r="K85" s="1091">
        <v>-0.125</v>
      </c>
      <c r="L85" s="1091">
        <v>-0.125</v>
      </c>
      <c r="M85" s="1090">
        <v>-0.125</v>
      </c>
      <c r="N85" s="1279"/>
    </row>
    <row r="86" spans="1:14" s="936" customFormat="1">
      <c r="A86" s="1082"/>
      <c r="B86" s="1760"/>
      <c r="C86" s="1706" t="s">
        <v>487</v>
      </c>
      <c r="D86" s="1708"/>
      <c r="E86" s="1154">
        <v>0</v>
      </c>
      <c r="F86" s="1153">
        <v>0</v>
      </c>
      <c r="G86" s="1153">
        <v>0</v>
      </c>
      <c r="H86" s="1153">
        <v>0</v>
      </c>
      <c r="I86" s="1153">
        <v>0</v>
      </c>
      <c r="J86" s="1153">
        <v>0</v>
      </c>
      <c r="K86" s="1153">
        <v>0</v>
      </c>
      <c r="L86" s="1153">
        <v>0</v>
      </c>
      <c r="M86" s="1152">
        <v>0</v>
      </c>
      <c r="N86" s="1279"/>
    </row>
    <row r="87" spans="1:14" s="936" customFormat="1">
      <c r="A87" s="1082"/>
      <c r="B87" s="1760"/>
      <c r="C87" s="1706" t="s">
        <v>488</v>
      </c>
      <c r="D87" s="1708"/>
      <c r="E87" s="1154">
        <v>0</v>
      </c>
      <c r="F87" s="1153">
        <v>0</v>
      </c>
      <c r="G87" s="1153">
        <v>0</v>
      </c>
      <c r="H87" s="1153">
        <v>0</v>
      </c>
      <c r="I87" s="1153">
        <v>0</v>
      </c>
      <c r="J87" s="1153">
        <v>0</v>
      </c>
      <c r="K87" s="1153">
        <v>0</v>
      </c>
      <c r="L87" s="1153">
        <v>0</v>
      </c>
      <c r="M87" s="1152" t="s">
        <v>14</v>
      </c>
      <c r="N87" s="1279"/>
    </row>
    <row r="88" spans="1:14" s="936" customFormat="1" ht="15" customHeight="1" thickBot="1">
      <c r="A88" s="1082"/>
      <c r="B88" s="1773"/>
      <c r="C88" s="1712" t="s">
        <v>382</v>
      </c>
      <c r="D88" s="1714"/>
      <c r="E88" s="1088">
        <v>0</v>
      </c>
      <c r="F88" s="1087">
        <v>0</v>
      </c>
      <c r="G88" s="1087">
        <v>0</v>
      </c>
      <c r="H88" s="1087">
        <v>0</v>
      </c>
      <c r="I88" s="1087">
        <v>0</v>
      </c>
      <c r="J88" s="1087">
        <v>0</v>
      </c>
      <c r="K88" s="1087" t="s">
        <v>14</v>
      </c>
      <c r="L88" s="1087" t="s">
        <v>14</v>
      </c>
      <c r="M88" s="1086" t="s">
        <v>14</v>
      </c>
      <c r="N88" s="1279"/>
    </row>
    <row r="89" spans="1:14" s="936" customFormat="1">
      <c r="A89" s="1082"/>
      <c r="B89" s="1757" t="s">
        <v>60</v>
      </c>
      <c r="C89" s="1778" t="s">
        <v>29</v>
      </c>
      <c r="D89" s="1824"/>
      <c r="E89" s="1154">
        <v>-1</v>
      </c>
      <c r="F89" s="1153">
        <v>-1</v>
      </c>
      <c r="G89" s="1153">
        <v>-1</v>
      </c>
      <c r="H89" s="1153">
        <v>-1</v>
      </c>
      <c r="I89" s="1153">
        <v>-1</v>
      </c>
      <c r="J89" s="1153">
        <v>-1</v>
      </c>
      <c r="K89" s="1153" t="s">
        <v>14</v>
      </c>
      <c r="L89" s="1153" t="s">
        <v>14</v>
      </c>
      <c r="M89" s="1152" t="s">
        <v>14</v>
      </c>
      <c r="N89" s="1279"/>
    </row>
    <row r="90" spans="1:14" s="936" customFormat="1" ht="15.75" thickBot="1">
      <c r="A90" s="1082"/>
      <c r="B90" s="1759"/>
      <c r="C90" s="1778" t="s">
        <v>61</v>
      </c>
      <c r="D90" s="1824"/>
      <c r="E90" s="1302">
        <v>-2</v>
      </c>
      <c r="F90" s="1158">
        <v>-2</v>
      </c>
      <c r="G90" s="1158">
        <v>-2.5</v>
      </c>
      <c r="H90" s="1158">
        <v>-3</v>
      </c>
      <c r="I90" s="1158">
        <v>-3.5</v>
      </c>
      <c r="J90" s="1158" t="s">
        <v>14</v>
      </c>
      <c r="K90" s="1158" t="s">
        <v>14</v>
      </c>
      <c r="L90" s="1158" t="s">
        <v>14</v>
      </c>
      <c r="M90" s="1279" t="s">
        <v>14</v>
      </c>
      <c r="N90" s="1279"/>
    </row>
    <row r="91" spans="1:14" s="936" customFormat="1">
      <c r="A91" s="1082"/>
      <c r="B91" s="1772" t="s">
        <v>62</v>
      </c>
      <c r="C91" s="1715" t="s">
        <v>260</v>
      </c>
      <c r="D91" s="1717"/>
      <c r="E91" s="1092">
        <v>0</v>
      </c>
      <c r="F91" s="1091">
        <v>0</v>
      </c>
      <c r="G91" s="1091">
        <v>0</v>
      </c>
      <c r="H91" s="1091">
        <v>-0.125</v>
      </c>
      <c r="I91" s="1091">
        <v>-0.125</v>
      </c>
      <c r="J91" s="1091">
        <v>-0.25</v>
      </c>
      <c r="K91" s="1091">
        <v>-0.25</v>
      </c>
      <c r="L91" s="1091" t="s">
        <v>14</v>
      </c>
      <c r="M91" s="1090" t="s">
        <v>14</v>
      </c>
      <c r="N91" s="1279"/>
    </row>
    <row r="92" spans="1:14" s="936" customFormat="1" ht="15.75" thickBot="1">
      <c r="A92" s="1082"/>
      <c r="B92" s="1773"/>
      <c r="C92" s="1712" t="s">
        <v>348</v>
      </c>
      <c r="D92" s="1714"/>
      <c r="E92" s="1088">
        <v>-0.5</v>
      </c>
      <c r="F92" s="1087">
        <v>-0.5</v>
      </c>
      <c r="G92" s="1087">
        <v>-0.5</v>
      </c>
      <c r="H92" s="1087">
        <v>-0.5</v>
      </c>
      <c r="I92" s="1087">
        <v>-0.5</v>
      </c>
      <c r="J92" s="1087">
        <v>-0.5</v>
      </c>
      <c r="K92" s="1087">
        <v>-0.5</v>
      </c>
      <c r="L92" s="1087" t="s">
        <v>14</v>
      </c>
      <c r="M92" s="1086" t="s">
        <v>14</v>
      </c>
      <c r="N92" s="1279"/>
    </row>
    <row r="93" spans="1:14" s="936" customFormat="1" ht="15.75" thickBot="1">
      <c r="A93" s="1082"/>
      <c r="B93" s="1192" t="s">
        <v>133</v>
      </c>
      <c r="C93" s="1709" t="s">
        <v>134</v>
      </c>
      <c r="D93" s="1711"/>
      <c r="E93" s="1088">
        <v>0</v>
      </c>
      <c r="F93" s="1087">
        <v>0</v>
      </c>
      <c r="G93" s="1087">
        <v>0</v>
      </c>
      <c r="H93" s="1087">
        <v>-0.125</v>
      </c>
      <c r="I93" s="1087">
        <v>-0.125</v>
      </c>
      <c r="J93" s="1087">
        <v>-0.125</v>
      </c>
      <c r="K93" s="1087">
        <v>-0.125</v>
      </c>
      <c r="L93" s="1087">
        <v>-0.125</v>
      </c>
      <c r="M93" s="1086">
        <v>-0.125</v>
      </c>
      <c r="N93" s="1279"/>
    </row>
    <row r="94" spans="1:14" s="936" customFormat="1">
      <c r="A94" s="1082"/>
      <c r="B94" s="1085"/>
      <c r="C94" s="1150"/>
      <c r="D94" s="1150"/>
      <c r="E94" s="1150"/>
      <c r="F94" s="1158"/>
      <c r="G94" s="1203"/>
      <c r="H94" s="1158"/>
      <c r="I94" s="1158"/>
      <c r="J94" s="1203"/>
      <c r="K94" s="1203"/>
      <c r="L94" s="1203"/>
      <c r="M94" s="1203"/>
      <c r="N94" s="1279"/>
    </row>
    <row r="95" spans="1:14" s="936" customFormat="1">
      <c r="A95" s="1082"/>
      <c r="B95" s="1085" t="s">
        <v>68</v>
      </c>
      <c r="D95" s="1150"/>
      <c r="E95" s="1150"/>
      <c r="F95" s="1158"/>
      <c r="G95" s="1203"/>
      <c r="H95" s="1158"/>
      <c r="I95" s="1158"/>
      <c r="J95" s="1203"/>
      <c r="K95" s="1203"/>
      <c r="L95" s="1203"/>
      <c r="M95" s="1203"/>
      <c r="N95" s="1279"/>
    </row>
    <row r="96" spans="1:14" s="936" customFormat="1">
      <c r="A96" s="1082"/>
      <c r="B96" s="1085"/>
      <c r="D96" s="1150"/>
      <c r="E96" s="1150"/>
      <c r="F96" s="1158"/>
      <c r="G96" s="1203"/>
      <c r="H96" s="1158"/>
      <c r="I96" s="1158"/>
      <c r="J96" s="1203"/>
      <c r="K96" s="1203"/>
      <c r="L96" s="1203"/>
      <c r="M96" s="1203"/>
      <c r="N96" s="1279"/>
    </row>
    <row r="97" spans="1:14" s="936" customFormat="1">
      <c r="A97" s="1082"/>
      <c r="B97" s="1170" t="s">
        <v>133</v>
      </c>
      <c r="C97" s="1150"/>
      <c r="D97" s="1150"/>
      <c r="E97" s="1150"/>
      <c r="F97" s="1168"/>
      <c r="G97" s="1168"/>
      <c r="H97" s="1168"/>
      <c r="I97" s="1168"/>
      <c r="J97" s="1168"/>
      <c r="K97" s="1168"/>
      <c r="L97" s="1168"/>
      <c r="M97" s="1168"/>
      <c r="N97" s="1314"/>
    </row>
    <row r="98" spans="1:14" s="936" customFormat="1">
      <c r="A98" s="1082"/>
      <c r="B98" s="1151"/>
      <c r="C98" s="1150"/>
      <c r="D98" s="1150"/>
      <c r="E98" s="1150"/>
      <c r="F98" s="1150"/>
      <c r="G98" s="1150"/>
      <c r="H98" s="1150"/>
      <c r="I98" s="1150"/>
      <c r="J98" s="1150"/>
      <c r="K98" s="1150"/>
      <c r="L98" s="1150"/>
      <c r="M98" s="1150"/>
      <c r="N98" s="1315"/>
    </row>
    <row r="99" spans="1:14" s="936" customFormat="1">
      <c r="A99" s="1082"/>
      <c r="N99" s="940"/>
    </row>
    <row r="100" spans="1:14" s="936" customFormat="1">
      <c r="A100" s="1082"/>
      <c r="N100" s="940"/>
    </row>
    <row r="101" spans="1:14" s="936" customFormat="1">
      <c r="A101" s="1082"/>
      <c r="N101" s="940"/>
    </row>
    <row r="102" spans="1:14" s="936" customFormat="1">
      <c r="A102" s="1082"/>
      <c r="N102" s="940"/>
    </row>
    <row r="103" spans="1:14" s="936" customFormat="1">
      <c r="A103" s="1082"/>
      <c r="N103" s="940"/>
    </row>
    <row r="104" spans="1:14" s="936" customFormat="1">
      <c r="A104" s="1082"/>
      <c r="N104" s="940"/>
    </row>
    <row r="105" spans="1:14" s="936" customFormat="1">
      <c r="A105" s="1082"/>
      <c r="N105" s="940"/>
    </row>
    <row r="106" spans="1:14" s="936" customFormat="1">
      <c r="A106" s="1082"/>
      <c r="N106" s="940"/>
    </row>
    <row r="107" spans="1:14" s="936" customFormat="1" ht="15" customHeight="1">
      <c r="A107" s="1082"/>
      <c r="N107" s="940"/>
    </row>
    <row r="108" spans="1:14" s="936" customFormat="1" ht="15" customHeight="1">
      <c r="A108" s="1082"/>
      <c r="N108" s="940"/>
    </row>
    <row r="109" spans="1:14" s="936" customFormat="1" ht="15" customHeight="1">
      <c r="A109" s="1082"/>
      <c r="N109" s="940"/>
    </row>
    <row r="110" spans="1:14" s="936" customFormat="1" ht="15" customHeight="1">
      <c r="A110" s="1082"/>
      <c r="N110" s="940"/>
    </row>
    <row r="111" spans="1:14" s="936" customFormat="1" ht="15" customHeight="1">
      <c r="A111" s="1082"/>
      <c r="N111" s="940"/>
    </row>
    <row r="112" spans="1:14" s="936" customFormat="1" ht="15" customHeight="1">
      <c r="A112" s="1082"/>
      <c r="N112" s="940"/>
    </row>
    <row r="113" spans="1:14" s="936" customFormat="1">
      <c r="A113" s="1082"/>
      <c r="N113" s="940"/>
    </row>
    <row r="114" spans="1:14" s="936" customFormat="1">
      <c r="A114" s="1082"/>
      <c r="N114" s="940"/>
    </row>
    <row r="115" spans="1:14" s="936" customFormat="1">
      <c r="A115" s="1082"/>
      <c r="N115" s="940"/>
    </row>
    <row r="116" spans="1:14" s="936" customFormat="1">
      <c r="A116" s="1082"/>
      <c r="N116" s="940"/>
    </row>
    <row r="117" spans="1:14" s="936" customFormat="1">
      <c r="A117" s="1082"/>
      <c r="G117" s="1081"/>
      <c r="H117" s="1080"/>
      <c r="N117" s="940"/>
    </row>
    <row r="118" spans="1:14" s="936" customFormat="1">
      <c r="A118" s="1082"/>
      <c r="G118" s="1081"/>
      <c r="H118" s="1080"/>
      <c r="N118" s="940"/>
    </row>
    <row r="119" spans="1:14" s="936" customFormat="1">
      <c r="A119" s="1082"/>
      <c r="G119" s="1081"/>
      <c r="H119" s="1080"/>
      <c r="N119" s="940"/>
    </row>
    <row r="120" spans="1:14" s="936" customFormat="1">
      <c r="A120" s="1082"/>
      <c r="G120" s="1081"/>
      <c r="H120" s="1080"/>
      <c r="N120" s="940"/>
    </row>
    <row r="121" spans="1:14" s="936" customFormat="1">
      <c r="A121" s="1082"/>
      <c r="G121" s="1081"/>
      <c r="H121" s="1080"/>
      <c r="N121" s="940"/>
    </row>
    <row r="122" spans="1:14" s="936" customFormat="1">
      <c r="A122" s="1082"/>
      <c r="N122" s="940"/>
    </row>
    <row r="123" spans="1:14" s="936" customFormat="1">
      <c r="A123" s="1082"/>
      <c r="N123" s="940"/>
    </row>
    <row r="124" spans="1:14" s="936" customFormat="1">
      <c r="A124" s="1082"/>
      <c r="N124" s="940"/>
    </row>
    <row r="125" spans="1:14" s="936" customFormat="1">
      <c r="A125" s="1082"/>
      <c r="N125" s="940"/>
    </row>
    <row r="126" spans="1:14" s="936" customFormat="1">
      <c r="A126" s="1082"/>
      <c r="N126" s="940"/>
    </row>
    <row r="127" spans="1:14" s="936" customFormat="1">
      <c r="A127" s="1082"/>
      <c r="N127" s="940"/>
    </row>
    <row r="128" spans="1:14" s="936" customFormat="1">
      <c r="A128" s="1082"/>
      <c r="N128" s="940"/>
    </row>
    <row r="129" spans="1:14" s="936" customFormat="1" ht="15.75" thickBot="1">
      <c r="A129" s="1149"/>
      <c r="N129" s="940"/>
    </row>
    <row r="130" spans="1:14" s="936" customFormat="1" ht="15" customHeight="1">
      <c r="A130" s="945"/>
      <c r="B130" s="1799" t="s">
        <v>181</v>
      </c>
      <c r="C130" s="1799"/>
      <c r="D130" s="1799"/>
      <c r="E130" s="1799"/>
      <c r="F130" s="1799"/>
      <c r="G130" s="1799"/>
      <c r="H130" s="1799"/>
      <c r="I130" s="1799"/>
      <c r="J130" s="1799"/>
      <c r="K130" s="1799"/>
      <c r="L130" s="1799"/>
      <c r="M130" s="1799"/>
      <c r="N130" s="1820"/>
    </row>
    <row r="131" spans="1:14" s="936" customFormat="1">
      <c r="A131" s="942"/>
      <c r="B131" s="1800"/>
      <c r="C131" s="1800"/>
      <c r="D131" s="1800"/>
      <c r="E131" s="1800"/>
      <c r="F131" s="1800"/>
      <c r="G131" s="1800"/>
      <c r="H131" s="1800"/>
      <c r="I131" s="1800"/>
      <c r="J131" s="1800"/>
      <c r="K131" s="1800"/>
      <c r="L131" s="1800"/>
      <c r="M131" s="1800"/>
      <c r="N131" s="1821"/>
    </row>
    <row r="132" spans="1:14" s="936" customFormat="1">
      <c r="A132" s="942"/>
      <c r="B132" s="1800"/>
      <c r="C132" s="1800"/>
      <c r="D132" s="1800"/>
      <c r="E132" s="1800"/>
      <c r="F132" s="1800"/>
      <c r="G132" s="1800"/>
      <c r="H132" s="1800"/>
      <c r="I132" s="1800"/>
      <c r="J132" s="1800"/>
      <c r="K132" s="1800"/>
      <c r="L132" s="1800"/>
      <c r="M132" s="1800"/>
      <c r="N132" s="1821"/>
    </row>
    <row r="133" spans="1:14" s="936" customFormat="1" ht="15.75" thickBot="1">
      <c r="A133" s="939"/>
      <c r="B133" s="1801"/>
      <c r="C133" s="1801"/>
      <c r="D133" s="1801"/>
      <c r="E133" s="1801"/>
      <c r="F133" s="1801"/>
      <c r="G133" s="1801"/>
      <c r="H133" s="1801"/>
      <c r="I133" s="1801"/>
      <c r="J133" s="1801"/>
      <c r="K133" s="1801"/>
      <c r="L133" s="1801"/>
      <c r="M133" s="1801"/>
      <c r="N133" s="1822"/>
    </row>
  </sheetData>
  <mergeCells count="48"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93:D93"/>
    <mergeCell ref="C90:D90"/>
    <mergeCell ref="C89:D89"/>
    <mergeCell ref="C87:D87"/>
    <mergeCell ref="C88:D88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  <x14:dataValidation type="list" allowBlank="1" showInputMessage="1" showErrorMessage="1" xr:uid="{C4CC7AB6-1484-4534-B5D5-BBDFB0713B4E}">
          <x14:formula1>
            <xm:f>margins!$AT$162:$AT$163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margins!$AT$159:$AT$160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margins!$AT$156:$AT$157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margins!$AT$153:$AT$154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margins!$AT$142:$AT$145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margins!$AT$134:$AT$140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margins!$AT$147:$AT$151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margins!$AT$128:$AT$132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margins!$AG$151:$AG$153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margins!$AG$146:$AG$149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margins!$AG$160:$AG$162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margins!$AG$157:$AG$158</xm:f>
          </x14:formula1>
          <xm:sqref>Q27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zoomScaleNormal="100" workbookViewId="0">
      <selection activeCell="U64" sqref="U64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26.25">
      <c r="A2" s="38"/>
      <c r="B2" s="39"/>
      <c r="C2" s="1793" t="s">
        <v>649</v>
      </c>
      <c r="D2" s="1793"/>
      <c r="E2" s="1793"/>
      <c r="F2" s="1793"/>
      <c r="G2" s="1793"/>
      <c r="H2" s="1793"/>
      <c r="I2" s="1793"/>
      <c r="J2" s="1793"/>
      <c r="N2" s="37"/>
    </row>
    <row r="3" spans="1:17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46223</v>
      </c>
      <c r="J3" s="602">
        <f t="shared" ref="J3" ca="1" si="0">TODAY()</f>
        <v>46223</v>
      </c>
      <c r="N3" s="37"/>
    </row>
    <row r="4" spans="1:17" ht="30.75">
      <c r="A4" s="45"/>
      <c r="B4" s="45"/>
      <c r="C4" s="45"/>
      <c r="D4" s="46"/>
      <c r="E4" s="46"/>
      <c r="F4" s="46"/>
      <c r="G4" s="46"/>
      <c r="H4" s="46"/>
      <c r="I4" s="47"/>
      <c r="J4" s="47"/>
      <c r="N4" s="37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N5" s="37"/>
    </row>
    <row r="6" spans="1:17" ht="15.75" thickBot="1">
      <c r="I6" s="417"/>
      <c r="K6" s="417"/>
      <c r="L6" s="417"/>
      <c r="M6" s="418"/>
      <c r="N6" s="37"/>
    </row>
    <row r="7" spans="1:17" ht="15.75" thickBot="1">
      <c r="B7" s="1794" t="s">
        <v>471</v>
      </c>
      <c r="C7" s="1795"/>
      <c r="D7" s="1796"/>
      <c r="F7" s="1797" t="s">
        <v>557</v>
      </c>
      <c r="G7" s="1797"/>
      <c r="H7" s="1635"/>
      <c r="I7" s="1635"/>
      <c r="L7" s="424" t="s">
        <v>654</v>
      </c>
      <c r="M7" s="1413"/>
      <c r="N7" s="1414">
        <v>46223.360254629632</v>
      </c>
    </row>
    <row r="8" spans="1:17" ht="15.75" thickBot="1">
      <c r="A8" s="1241" t="s">
        <v>3</v>
      </c>
      <c r="B8" s="49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L8" s="418"/>
      <c r="M8" s="418"/>
      <c r="N8" s="418"/>
    </row>
    <row r="9" spans="1:17" ht="15.75" thickBot="1">
      <c r="A9" s="1242">
        <f>margins!J5</f>
        <v>5.75</v>
      </c>
      <c r="B9" s="819">
        <v>92.37</v>
      </c>
      <c r="C9" s="819">
        <v>92.27</v>
      </c>
      <c r="D9" s="820">
        <v>92.27</v>
      </c>
      <c r="E9" s="1545">
        <v>-9.9999999999994316E-2</v>
      </c>
      <c r="F9" s="56" t="s">
        <v>95</v>
      </c>
      <c r="G9" s="58">
        <v>102</v>
      </c>
      <c r="I9" s="64"/>
      <c r="J9" s="64"/>
      <c r="L9" s="441" t="s">
        <v>195</v>
      </c>
      <c r="M9" s="442" t="s">
        <v>196</v>
      </c>
      <c r="N9" s="442" t="s">
        <v>197</v>
      </c>
      <c r="O9" s="64"/>
      <c r="P9" s="64"/>
      <c r="Q9" s="64"/>
    </row>
    <row r="10" spans="1:17" ht="15.75" thickBot="1">
      <c r="A10" s="1243">
        <f>margins!J6</f>
        <v>5.875</v>
      </c>
      <c r="B10" s="443">
        <v>93.37</v>
      </c>
      <c r="C10" s="443">
        <v>93.27</v>
      </c>
      <c r="D10" s="816">
        <v>93.27</v>
      </c>
      <c r="E10" s="66"/>
      <c r="F10" s="56" t="s">
        <v>96</v>
      </c>
      <c r="G10" s="58">
        <v>102</v>
      </c>
      <c r="I10" s="64"/>
      <c r="J10" s="64"/>
      <c r="L10" s="418"/>
      <c r="M10" s="418"/>
      <c r="N10" s="418"/>
      <c r="P10" s="64"/>
      <c r="Q10" s="64"/>
    </row>
    <row r="11" spans="1:17">
      <c r="A11" s="1243">
        <f>margins!J7</f>
        <v>6</v>
      </c>
      <c r="B11" s="443">
        <v>94.245000000000005</v>
      </c>
      <c r="C11" s="443">
        <v>94.144999999999996</v>
      </c>
      <c r="D11" s="816">
        <v>94.144999999999996</v>
      </c>
      <c r="E11" s="66"/>
      <c r="F11" s="56" t="s">
        <v>7</v>
      </c>
      <c r="G11" s="58">
        <v>102</v>
      </c>
      <c r="I11" s="64"/>
      <c r="J11" s="64"/>
      <c r="L11" s="427" t="s">
        <v>198</v>
      </c>
      <c r="M11" s="432" t="s">
        <v>91</v>
      </c>
      <c r="N11" s="435"/>
      <c r="P11" s="64"/>
      <c r="Q11" s="64"/>
    </row>
    <row r="12" spans="1:17">
      <c r="A12" s="1243">
        <f>margins!J8</f>
        <v>6.125</v>
      </c>
      <c r="B12" s="443">
        <v>94.963000000000008</v>
      </c>
      <c r="C12" s="443">
        <v>94.863</v>
      </c>
      <c r="D12" s="816">
        <v>94.863</v>
      </c>
      <c r="E12" s="1545"/>
      <c r="F12" s="56" t="s">
        <v>9</v>
      </c>
      <c r="G12" s="58">
        <v>101.5</v>
      </c>
      <c r="H12" s="64"/>
      <c r="I12" s="64"/>
      <c r="J12" s="64"/>
      <c r="L12" s="428" t="s">
        <v>199</v>
      </c>
      <c r="M12" s="432">
        <v>7.875</v>
      </c>
      <c r="N12" s="849">
        <f>IF(M11="7/6 Arm",VLOOKUP(M12,$A$8:$D$37,2,FALSE),IF(M11="10/6 Arm",VLOOKUP(M12,$A$8:$D$37,3,FALSE),VLOOKUP(M12,$A$8:$D$37,4,FALSE)))</f>
        <v>102.89400000000001</v>
      </c>
      <c r="P12" s="64"/>
      <c r="Q12" s="64"/>
    </row>
    <row r="13" spans="1:17">
      <c r="A13" s="1243">
        <f>margins!J9</f>
        <v>6.25</v>
      </c>
      <c r="B13" s="443">
        <v>95.65</v>
      </c>
      <c r="C13" s="443">
        <v>95.55</v>
      </c>
      <c r="D13" s="816">
        <v>95.55</v>
      </c>
      <c r="E13" s="1545"/>
      <c r="F13" s="56" t="s">
        <v>11</v>
      </c>
      <c r="G13" s="58">
        <v>99.5</v>
      </c>
      <c r="H13" s="64"/>
      <c r="I13" s="64"/>
      <c r="J13" s="64"/>
      <c r="L13" s="428" t="s">
        <v>353</v>
      </c>
      <c r="M13" s="432" t="s">
        <v>16</v>
      </c>
      <c r="N13" s="436"/>
    </row>
    <row r="14" spans="1:17" ht="15.75" thickBot="1">
      <c r="A14" s="1243">
        <f>margins!J10</f>
        <v>6.375</v>
      </c>
      <c r="B14" s="443">
        <v>96.338000000000008</v>
      </c>
      <c r="C14" s="443">
        <v>96.238</v>
      </c>
      <c r="D14" s="816">
        <v>96.238</v>
      </c>
      <c r="E14" s="1545"/>
      <c r="F14" s="59" t="s">
        <v>97</v>
      </c>
      <c r="G14" s="60">
        <v>98.5</v>
      </c>
      <c r="H14" s="64"/>
      <c r="I14" s="64"/>
      <c r="J14" s="64"/>
      <c r="L14" s="428" t="s">
        <v>200</v>
      </c>
      <c r="M14" s="432" t="s">
        <v>191</v>
      </c>
      <c r="N14" s="436">
        <f>IFERROR(INDEX($C$42:$H$43,MATCH(M14,B42:B43,0),MATCH(M13,C41:H41,0),1),0)</f>
        <v>0</v>
      </c>
    </row>
    <row r="15" spans="1:17">
      <c r="A15" s="1243">
        <f>margins!J11</f>
        <v>6.5</v>
      </c>
      <c r="B15" s="443">
        <v>97.025000000000006</v>
      </c>
      <c r="C15" s="443">
        <v>96.924999999999997</v>
      </c>
      <c r="D15" s="816">
        <v>96.924999999999997</v>
      </c>
      <c r="E15" s="1545"/>
      <c r="G15" s="1"/>
      <c r="H15" s="64"/>
      <c r="I15" s="64"/>
      <c r="J15" s="64"/>
      <c r="L15" s="428" t="s">
        <v>109</v>
      </c>
      <c r="M15" s="432" t="s">
        <v>113</v>
      </c>
      <c r="N15" s="436">
        <f>IFERROR(INDEX($C$44:$H$45,MATCH(M15,B44:B45,0),MATCH(M13,$C$41:$H$41,0),1),0)</f>
        <v>0</v>
      </c>
    </row>
    <row r="16" spans="1:17" ht="15.75" thickBot="1">
      <c r="A16" s="1243">
        <f>margins!J12</f>
        <v>6.625</v>
      </c>
      <c r="B16" s="443">
        <v>97.65</v>
      </c>
      <c r="C16" s="443">
        <v>97.55</v>
      </c>
      <c r="D16" s="816">
        <v>97.55</v>
      </c>
      <c r="E16" s="1545"/>
      <c r="F16" s="1081" t="s">
        <v>594</v>
      </c>
      <c r="G16" s="1277"/>
      <c r="H16" s="1277"/>
      <c r="I16" s="64"/>
      <c r="J16" s="64"/>
      <c r="L16" s="428" t="s">
        <v>47</v>
      </c>
      <c r="M16" s="432" t="s">
        <v>219</v>
      </c>
      <c r="N16" s="436">
        <f t="shared" ref="N16:N26" si="1">IFERROR(INDEX($C$50:$H$76,MATCH(M16,$B$50:$B$76,0),MATCH($M$13,$C$41:$H$41,0),1),0)</f>
        <v>0</v>
      </c>
    </row>
    <row r="17" spans="1:14" ht="15" customHeight="1">
      <c r="A17" s="1243">
        <f>margins!J13</f>
        <v>6.75</v>
      </c>
      <c r="B17" s="443">
        <v>98.275000000000006</v>
      </c>
      <c r="C17" s="443">
        <v>98.174999999999997</v>
      </c>
      <c r="D17" s="816">
        <v>98.174999999999997</v>
      </c>
      <c r="E17" s="1545"/>
      <c r="F17" s="1721" t="s">
        <v>639</v>
      </c>
      <c r="G17" s="1722"/>
      <c r="H17" s="1723"/>
      <c r="I17" s="64"/>
      <c r="J17" s="64"/>
      <c r="L17" s="428" t="s">
        <v>56</v>
      </c>
      <c r="M17" s="432" t="s">
        <v>191</v>
      </c>
      <c r="N17" s="436">
        <f t="shared" si="1"/>
        <v>0</v>
      </c>
    </row>
    <row r="18" spans="1:14">
      <c r="A18" s="1243">
        <f>margins!J14</f>
        <v>6.875</v>
      </c>
      <c r="B18" s="443">
        <v>98.9</v>
      </c>
      <c r="C18" s="443">
        <v>98.8</v>
      </c>
      <c r="D18" s="816">
        <v>98.8</v>
      </c>
      <c r="E18" s="1545"/>
      <c r="F18" s="1724"/>
      <c r="G18" s="1725"/>
      <c r="H18" s="1726"/>
      <c r="I18" s="64"/>
      <c r="J18" s="64"/>
      <c r="L18" s="428" t="s">
        <v>62</v>
      </c>
      <c r="M18" s="432" t="s">
        <v>191</v>
      </c>
      <c r="N18" s="436">
        <f t="shared" si="1"/>
        <v>0</v>
      </c>
    </row>
    <row r="19" spans="1:14" ht="15" customHeight="1">
      <c r="A19" s="1243">
        <f>margins!J15</f>
        <v>7</v>
      </c>
      <c r="B19" s="443">
        <v>99.525000000000006</v>
      </c>
      <c r="C19" s="443">
        <v>99.424999999999997</v>
      </c>
      <c r="D19" s="816">
        <v>99.424999999999997</v>
      </c>
      <c r="E19" s="1545"/>
      <c r="F19" s="1724" t="s">
        <v>437</v>
      </c>
      <c r="G19" s="1725"/>
      <c r="H19" s="1726"/>
      <c r="I19" s="64"/>
      <c r="J19" s="64"/>
      <c r="L19" s="428" t="s">
        <v>202</v>
      </c>
      <c r="M19" s="432" t="s">
        <v>191</v>
      </c>
      <c r="N19" s="436">
        <f t="shared" si="1"/>
        <v>0</v>
      </c>
    </row>
    <row r="20" spans="1:14">
      <c r="A20" s="1243">
        <f>margins!J16</f>
        <v>7.125</v>
      </c>
      <c r="B20" s="443">
        <v>100.15</v>
      </c>
      <c r="C20" s="443">
        <v>100.05</v>
      </c>
      <c r="D20" s="816">
        <v>100.05</v>
      </c>
      <c r="E20" s="1545"/>
      <c r="F20" s="1724"/>
      <c r="G20" s="1725"/>
      <c r="H20" s="1726"/>
      <c r="I20" s="64"/>
      <c r="J20" s="64"/>
      <c r="L20" s="428" t="s">
        <v>136</v>
      </c>
      <c r="M20" s="432" t="s">
        <v>191</v>
      </c>
      <c r="N20" s="436">
        <f t="shared" si="1"/>
        <v>0</v>
      </c>
    </row>
    <row r="21" spans="1:14" ht="15" customHeight="1">
      <c r="A21" s="1243">
        <f>margins!J17</f>
        <v>7.25</v>
      </c>
      <c r="B21" s="443">
        <v>100.77500000000001</v>
      </c>
      <c r="C21" s="443">
        <v>100.675</v>
      </c>
      <c r="D21" s="816">
        <v>100.675</v>
      </c>
      <c r="E21" s="1545"/>
      <c r="F21" s="1733" t="s">
        <v>735</v>
      </c>
      <c r="G21" s="1734"/>
      <c r="H21" s="1735"/>
      <c r="I21" s="64"/>
      <c r="J21" s="64"/>
      <c r="L21" s="428" t="s">
        <v>203</v>
      </c>
      <c r="M21" s="432" t="s">
        <v>191</v>
      </c>
      <c r="N21" s="436">
        <f t="shared" si="1"/>
        <v>0</v>
      </c>
    </row>
    <row r="22" spans="1:14">
      <c r="A22" s="1243">
        <f>margins!J18</f>
        <v>7.375</v>
      </c>
      <c r="B22" s="443">
        <v>101.307</v>
      </c>
      <c r="C22" s="443">
        <v>101.20700000000001</v>
      </c>
      <c r="D22" s="816">
        <v>101.20700000000001</v>
      </c>
      <c r="E22" s="1545"/>
      <c r="F22" s="1733"/>
      <c r="G22" s="1734"/>
      <c r="H22" s="1735"/>
      <c r="I22" s="64"/>
      <c r="J22" s="64"/>
      <c r="L22" s="428" t="s">
        <v>652</v>
      </c>
      <c r="M22" s="432" t="s">
        <v>191</v>
      </c>
      <c r="N22" s="436">
        <f>IFERROR(INDEX($C$67:$H$76,MATCH(M22,$B$67:$B$76,0),MATCH($M$13,$C$41:$H$41,0),1),0)</f>
        <v>0</v>
      </c>
    </row>
    <row r="23" spans="1:14" ht="15" customHeight="1">
      <c r="A23" s="1243">
        <f>margins!J19</f>
        <v>7.5</v>
      </c>
      <c r="B23" s="443">
        <v>101.744</v>
      </c>
      <c r="C23" s="443">
        <v>101.64400000000001</v>
      </c>
      <c r="D23" s="816">
        <v>101.64400000000001</v>
      </c>
      <c r="E23" s="1545"/>
      <c r="F23" s="1733" t="s">
        <v>638</v>
      </c>
      <c r="G23" s="1734"/>
      <c r="H23" s="1735"/>
      <c r="I23" s="64"/>
      <c r="J23" s="64"/>
      <c r="L23" s="428" t="s">
        <v>69</v>
      </c>
      <c r="M23" s="432" t="s">
        <v>191</v>
      </c>
      <c r="N23" s="436">
        <f t="shared" si="1"/>
        <v>0</v>
      </c>
    </row>
    <row r="24" spans="1:14" ht="15.75" thickBot="1">
      <c r="A24" s="1243">
        <f>margins!J20</f>
        <v>7.625</v>
      </c>
      <c r="B24" s="443">
        <v>102.182</v>
      </c>
      <c r="C24" s="443">
        <v>102.08200000000001</v>
      </c>
      <c r="D24" s="816">
        <v>102.08200000000001</v>
      </c>
      <c r="E24" s="1545"/>
      <c r="F24" s="1741"/>
      <c r="G24" s="1742"/>
      <c r="H24" s="1743"/>
      <c r="I24" s="64"/>
      <c r="J24" s="64"/>
      <c r="L24" s="428" t="s">
        <v>470</v>
      </c>
      <c r="M24" s="432" t="s">
        <v>191</v>
      </c>
      <c r="N24" s="436">
        <f t="shared" si="1"/>
        <v>0</v>
      </c>
    </row>
    <row r="25" spans="1:14" ht="15" customHeight="1">
      <c r="A25" s="1243">
        <f>margins!J21</f>
        <v>7.75</v>
      </c>
      <c r="B25" s="443">
        <v>102.619</v>
      </c>
      <c r="C25" s="443">
        <v>102.51900000000001</v>
      </c>
      <c r="D25" s="816">
        <v>102.51900000000001</v>
      </c>
      <c r="E25" s="1545"/>
      <c r="F25" s="1779"/>
      <c r="G25" s="1779"/>
      <c r="H25" s="1779"/>
      <c r="I25" s="64"/>
      <c r="J25" s="64"/>
      <c r="L25" s="428" t="s">
        <v>653</v>
      </c>
      <c r="M25" s="432" t="s">
        <v>191</v>
      </c>
      <c r="N25" s="436">
        <f t="shared" si="1"/>
        <v>0</v>
      </c>
    </row>
    <row r="26" spans="1:14">
      <c r="A26" s="1243">
        <f>margins!J22</f>
        <v>7.875</v>
      </c>
      <c r="B26" s="443">
        <v>102.994</v>
      </c>
      <c r="C26" s="443">
        <v>102.89400000000001</v>
      </c>
      <c r="D26" s="816">
        <v>102.89400000000001</v>
      </c>
      <c r="E26" s="1545"/>
      <c r="F26" s="1780"/>
      <c r="G26" s="1780"/>
      <c r="H26" s="1780"/>
      <c r="I26" s="64"/>
      <c r="J26" s="64"/>
      <c r="L26" s="428" t="s">
        <v>464</v>
      </c>
      <c r="M26" s="432" t="s">
        <v>191</v>
      </c>
      <c r="N26" s="436">
        <f t="shared" si="1"/>
        <v>0</v>
      </c>
    </row>
    <row r="27" spans="1:14" ht="15" customHeight="1">
      <c r="A27" s="1243">
        <f>margins!J23</f>
        <v>8</v>
      </c>
      <c r="B27" s="443">
        <v>103.369</v>
      </c>
      <c r="C27" s="443">
        <v>103.26900000000001</v>
      </c>
      <c r="D27" s="816">
        <v>103.26900000000001</v>
      </c>
      <c r="E27" s="1545"/>
      <c r="F27" s="1780"/>
      <c r="G27" s="1780"/>
      <c r="H27" s="1780"/>
      <c r="I27" s="64"/>
      <c r="J27" s="64"/>
      <c r="L27" s="428" t="s">
        <v>205</v>
      </c>
      <c r="M27" s="432" t="s">
        <v>191</v>
      </c>
      <c r="N27" s="436">
        <f>_xlfn.IFNA(VLOOKUP(M27,$F$37:$G$38, 2,0), 0)</f>
        <v>0</v>
      </c>
    </row>
    <row r="28" spans="1:14" ht="15.75" thickBot="1">
      <c r="A28" s="1243">
        <f>margins!J24</f>
        <v>8.125</v>
      </c>
      <c r="B28" s="443">
        <v>103.744</v>
      </c>
      <c r="C28" s="443">
        <v>103.64400000000001</v>
      </c>
      <c r="D28" s="816">
        <v>103.64400000000001</v>
      </c>
      <c r="E28" s="1545"/>
      <c r="F28" s="1780"/>
      <c r="G28" s="1780"/>
      <c r="H28" s="1780"/>
      <c r="I28" s="64"/>
      <c r="J28" s="64"/>
      <c r="L28" s="429" t="s">
        <v>206</v>
      </c>
      <c r="M28" s="433"/>
      <c r="N28" s="437">
        <f>SUM(N14:N27)</f>
        <v>0</v>
      </c>
    </row>
    <row r="29" spans="1:14" ht="15.75" thickBot="1">
      <c r="A29" s="1243">
        <f>margins!J25</f>
        <v>8.25</v>
      </c>
      <c r="B29" s="443">
        <v>104.119</v>
      </c>
      <c r="C29" s="443">
        <v>104.01900000000001</v>
      </c>
      <c r="D29" s="816">
        <v>104.01900000000001</v>
      </c>
      <c r="E29" s="1545"/>
      <c r="H29" s="1"/>
      <c r="I29" s="64"/>
      <c r="J29" s="64"/>
      <c r="L29" s="420"/>
      <c r="M29" s="421"/>
      <c r="N29" s="430"/>
    </row>
    <row r="30" spans="1:14" ht="15.75" thickBot="1">
      <c r="A30" s="1243">
        <f>margins!J26</f>
        <v>8.375</v>
      </c>
      <c r="B30" s="443">
        <v>104.494</v>
      </c>
      <c r="C30" s="443">
        <v>104.39400000000001</v>
      </c>
      <c r="D30" s="816">
        <v>104.39400000000001</v>
      </c>
      <c r="E30" s="1545"/>
      <c r="F30" s="395" t="s">
        <v>99</v>
      </c>
      <c r="G30" s="396"/>
      <c r="I30" s="64"/>
      <c r="J30" s="64"/>
      <c r="L30" s="422" t="s">
        <v>207</v>
      </c>
      <c r="M30" s="423"/>
      <c r="N30" s="58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102.89400000000001</v>
      </c>
    </row>
    <row r="31" spans="1:14" ht="15.75" thickBot="1">
      <c r="A31" s="1243">
        <f>margins!J27</f>
        <v>8.5</v>
      </c>
      <c r="B31" s="443">
        <v>104.807</v>
      </c>
      <c r="C31" s="443">
        <v>104.70700000000001</v>
      </c>
      <c r="D31" s="816">
        <v>104.70700000000001</v>
      </c>
      <c r="E31" s="1545"/>
      <c r="F31" s="397" t="s">
        <v>100</v>
      </c>
      <c r="G31" s="398" t="s">
        <v>101</v>
      </c>
      <c r="I31" s="64"/>
      <c r="J31" s="64"/>
      <c r="L31" s="417"/>
      <c r="M31" s="417"/>
      <c r="N31" s="417"/>
    </row>
    <row r="32" spans="1:14" ht="15.75" thickBot="1">
      <c r="A32" s="1243">
        <f>margins!J28</f>
        <v>8.625</v>
      </c>
      <c r="B32" s="443">
        <v>105.119</v>
      </c>
      <c r="C32" s="443">
        <v>105.01900000000001</v>
      </c>
      <c r="D32" s="816">
        <v>105.01900000000001</v>
      </c>
      <c r="E32" s="1545"/>
      <c r="F32" s="399" t="s">
        <v>102</v>
      </c>
      <c r="G32" s="400">
        <v>4.5</v>
      </c>
      <c r="I32" s="64"/>
      <c r="J32" s="64"/>
      <c r="L32" s="746" t="s">
        <v>655</v>
      </c>
      <c r="M32" s="747"/>
      <c r="N32" s="748"/>
    </row>
    <row r="33" spans="1:24">
      <c r="A33" s="1243">
        <f>margins!J29</f>
        <v>8.75</v>
      </c>
      <c r="B33" s="443">
        <v>105.432</v>
      </c>
      <c r="C33" s="443">
        <v>105.33200000000001</v>
      </c>
      <c r="D33" s="816">
        <v>105.33200000000001</v>
      </c>
      <c r="E33" s="1545"/>
      <c r="F33" s="399" t="s">
        <v>253</v>
      </c>
      <c r="G33" s="401" t="s">
        <v>103</v>
      </c>
      <c r="I33" s="64"/>
      <c r="J33" s="64"/>
    </row>
    <row r="34" spans="1:24" ht="15.75" thickBot="1">
      <c r="A34" s="1243">
        <f>margins!J30</f>
        <v>8.875</v>
      </c>
      <c r="B34" s="443">
        <v>105.682</v>
      </c>
      <c r="C34" s="443">
        <v>105.58200000000001</v>
      </c>
      <c r="D34" s="816">
        <v>105.58200000000001</v>
      </c>
      <c r="E34" s="1545"/>
      <c r="F34" s="402" t="s">
        <v>104</v>
      </c>
      <c r="G34" s="403" t="s">
        <v>105</v>
      </c>
      <c r="I34" s="64"/>
      <c r="J34" s="64"/>
      <c r="L34" s="417"/>
      <c r="M34" s="417"/>
    </row>
    <row r="35" spans="1:24" ht="15.75" thickBot="1">
      <c r="A35" s="1243">
        <f>margins!J31</f>
        <v>9</v>
      </c>
      <c r="B35" s="443">
        <v>105.932</v>
      </c>
      <c r="C35" s="443">
        <v>105.83200000000001</v>
      </c>
      <c r="D35" s="816">
        <v>105.83200000000001</v>
      </c>
      <c r="E35" s="1545"/>
      <c r="J35" s="64"/>
      <c r="L35" s="417"/>
      <c r="M35" s="417"/>
    </row>
    <row r="36" spans="1:24" ht="15" customHeight="1">
      <c r="A36" s="1243">
        <f>margins!J32</f>
        <v>9.125</v>
      </c>
      <c r="B36" s="443">
        <v>106.182</v>
      </c>
      <c r="C36" s="443">
        <v>106.08200000000001</v>
      </c>
      <c r="D36" s="816">
        <v>106.08200000000001</v>
      </c>
      <c r="E36" s="1545"/>
      <c r="F36" s="395" t="s">
        <v>106</v>
      </c>
      <c r="G36" s="396"/>
      <c r="H36" s="413" t="s">
        <v>660</v>
      </c>
      <c r="I36" s="414"/>
      <c r="J36" s="64"/>
      <c r="K36" s="417"/>
      <c r="M36" s="417"/>
    </row>
    <row r="37" spans="1:24" ht="15.75" thickBot="1">
      <c r="A37" s="1244">
        <f>margins!J33</f>
        <v>9.25</v>
      </c>
      <c r="B37" s="817">
        <v>106.432</v>
      </c>
      <c r="C37" s="817">
        <v>106.33200000000001</v>
      </c>
      <c r="D37" s="818">
        <v>106.33200000000001</v>
      </c>
      <c r="E37" s="1545"/>
      <c r="F37" s="404" t="s">
        <v>107</v>
      </c>
      <c r="G37" s="405">
        <v>0</v>
      </c>
      <c r="H37" s="1263" t="s">
        <v>661</v>
      </c>
      <c r="I37" s="1264"/>
      <c r="J37" s="64"/>
      <c r="K37" s="417"/>
    </row>
    <row r="38" spans="1:24" ht="15.75" thickBot="1">
      <c r="F38" s="738" t="s">
        <v>108</v>
      </c>
      <c r="G38" s="739">
        <v>-0.375</v>
      </c>
      <c r="I38" s="419"/>
    </row>
    <row r="40" spans="1:24">
      <c r="A40" s="3" t="s">
        <v>425</v>
      </c>
      <c r="B40" s="3"/>
      <c r="C40" s="1"/>
      <c r="D40" s="1"/>
      <c r="E40" s="1"/>
      <c r="H40" s="21"/>
      <c r="I40" s="20"/>
      <c r="J40" s="416"/>
      <c r="L40" s="64"/>
      <c r="M40" s="64"/>
      <c r="N40" s="64"/>
    </row>
    <row r="41" spans="1:24">
      <c r="A41" s="1784" t="s">
        <v>109</v>
      </c>
      <c r="B41" s="415" t="s">
        <v>191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6" t="s">
        <v>19</v>
      </c>
      <c r="H41" s="407" t="s">
        <v>20</v>
      </c>
      <c r="L41" s="64"/>
      <c r="M41" s="64"/>
      <c r="N41" s="64"/>
    </row>
    <row r="42" spans="1:24">
      <c r="A42" s="1785"/>
      <c r="B42" s="408" t="s">
        <v>644</v>
      </c>
      <c r="C42" s="821">
        <v>0.49999999999999989</v>
      </c>
      <c r="D42" s="802">
        <v>0.12499999999999989</v>
      </c>
      <c r="E42" s="802">
        <v>-0.12500000000000011</v>
      </c>
      <c r="F42" s="802">
        <v>-1</v>
      </c>
      <c r="G42" s="802">
        <v>-2.5</v>
      </c>
      <c r="H42" s="803">
        <v>-3.75</v>
      </c>
      <c r="K42" s="64"/>
      <c r="L42" s="64"/>
      <c r="M42" s="64"/>
      <c r="N42" s="64"/>
      <c r="O42" s="64"/>
      <c r="P42" s="64"/>
      <c r="Q42" s="64"/>
      <c r="S42" s="64"/>
      <c r="T42" s="64"/>
      <c r="U42" s="64"/>
      <c r="V42" s="64"/>
      <c r="W42" s="64"/>
      <c r="X42" s="64"/>
    </row>
    <row r="43" spans="1:24">
      <c r="A43" s="1786"/>
      <c r="B43" s="409" t="s">
        <v>645</v>
      </c>
      <c r="C43" s="822">
        <v>0.5</v>
      </c>
      <c r="D43" s="806">
        <v>0.12499999999999989</v>
      </c>
      <c r="E43" s="806">
        <v>-0.12500000000000011</v>
      </c>
      <c r="F43" s="806">
        <v>-1</v>
      </c>
      <c r="G43" s="806">
        <v>-2.5</v>
      </c>
      <c r="H43" s="807">
        <v>-3.75</v>
      </c>
      <c r="K43" s="64"/>
      <c r="L43" s="64"/>
      <c r="M43" s="64"/>
      <c r="N43" s="64"/>
      <c r="O43" s="64"/>
      <c r="P43" s="64"/>
      <c r="Q43" s="64"/>
      <c r="S43" s="64"/>
      <c r="T43" s="64"/>
      <c r="U43" s="64"/>
      <c r="V43" s="64"/>
      <c r="W43" s="64"/>
      <c r="X43" s="64"/>
    </row>
    <row r="44" spans="1:24">
      <c r="A44" s="1784" t="s">
        <v>650</v>
      </c>
      <c r="B44" s="406" t="s">
        <v>112</v>
      </c>
      <c r="C44" s="821">
        <v>0.5</v>
      </c>
      <c r="D44" s="802">
        <v>0.5</v>
      </c>
      <c r="E44" s="802">
        <v>0.5</v>
      </c>
      <c r="F44" s="802">
        <v>0.625</v>
      </c>
      <c r="G44" s="802">
        <v>0.625</v>
      </c>
      <c r="H44" s="803">
        <v>0.625</v>
      </c>
      <c r="K44" s="64"/>
      <c r="L44" s="64"/>
      <c r="M44" s="64"/>
      <c r="N44" s="64"/>
      <c r="O44" s="64"/>
      <c r="P44" s="64"/>
      <c r="Q44" s="64"/>
    </row>
    <row r="45" spans="1:24">
      <c r="A45" s="1786"/>
      <c r="B45" s="409" t="s">
        <v>113</v>
      </c>
      <c r="C45" s="822">
        <v>0</v>
      </c>
      <c r="D45" s="806">
        <v>0</v>
      </c>
      <c r="E45" s="806">
        <v>0</v>
      </c>
      <c r="F45" s="806">
        <v>0</v>
      </c>
      <c r="G45" s="806">
        <v>0</v>
      </c>
      <c r="H45" s="807">
        <v>0</v>
      </c>
      <c r="K45" s="64"/>
      <c r="O45" s="64"/>
      <c r="P45" s="64"/>
      <c r="Q45" s="64"/>
    </row>
    <row r="46" spans="1:24">
      <c r="A46" s="64"/>
      <c r="B46" s="64"/>
      <c r="C46" s="64"/>
      <c r="D46" s="64"/>
      <c r="E46" s="64"/>
      <c r="F46" s="64"/>
      <c r="G46" s="64"/>
      <c r="H46" s="64"/>
      <c r="K46" s="64"/>
      <c r="O46" s="64"/>
      <c r="P46" s="64"/>
      <c r="Q46" s="64"/>
    </row>
    <row r="47" spans="1:24">
      <c r="A47" s="410"/>
      <c r="B47" s="416" t="s">
        <v>191</v>
      </c>
      <c r="C47" s="64"/>
      <c r="D47" s="64"/>
      <c r="E47" s="64"/>
      <c r="F47" s="64"/>
      <c r="G47" s="64"/>
      <c r="H47" s="64"/>
    </row>
    <row r="48" spans="1:24">
      <c r="A48" s="3" t="s">
        <v>116</v>
      </c>
      <c r="L48" s="64"/>
      <c r="M48" s="64"/>
      <c r="N48" s="64"/>
    </row>
    <row r="49" spans="1:18">
      <c r="A49" s="61"/>
      <c r="B49" s="93" t="s">
        <v>298</v>
      </c>
      <c r="C49" s="406" t="s">
        <v>15</v>
      </c>
      <c r="D49" s="406" t="s">
        <v>16</v>
      </c>
      <c r="E49" s="406" t="s">
        <v>17</v>
      </c>
      <c r="F49" s="406" t="s">
        <v>18</v>
      </c>
      <c r="G49" s="406" t="s">
        <v>19</v>
      </c>
      <c r="H49" s="407" t="s">
        <v>20</v>
      </c>
      <c r="L49" s="64"/>
      <c r="M49" s="64"/>
      <c r="N49" s="64"/>
    </row>
    <row r="50" spans="1:18">
      <c r="A50" s="1787" t="s">
        <v>47</v>
      </c>
      <c r="B50" s="825" t="s">
        <v>453</v>
      </c>
      <c r="C50" s="805">
        <v>-0.75</v>
      </c>
      <c r="D50" s="805">
        <v>-0.75</v>
      </c>
      <c r="E50" s="805">
        <v>-0.875</v>
      </c>
      <c r="F50" s="805">
        <v>-0.875</v>
      </c>
      <c r="G50" s="805">
        <v>-0.875</v>
      </c>
      <c r="H50" s="770">
        <v>-1.75</v>
      </c>
      <c r="K50" s="64"/>
      <c r="L50" s="64"/>
      <c r="M50" s="64"/>
      <c r="N50" s="64"/>
      <c r="O50" s="64"/>
      <c r="P50" s="64"/>
      <c r="Q50" s="64"/>
    </row>
    <row r="51" spans="1:18">
      <c r="A51" s="1788"/>
      <c r="B51" s="824" t="s">
        <v>126</v>
      </c>
      <c r="C51" s="805">
        <v>-0.25</v>
      </c>
      <c r="D51" s="805">
        <v>-0.25</v>
      </c>
      <c r="E51" s="805">
        <v>-0.25</v>
      </c>
      <c r="F51" s="805">
        <v>-0.25</v>
      </c>
      <c r="G51" s="805">
        <v>-0.25</v>
      </c>
      <c r="H51" s="770">
        <v>-0.25</v>
      </c>
      <c r="K51" s="64"/>
      <c r="L51" s="64"/>
      <c r="M51" s="64"/>
      <c r="N51" s="64"/>
      <c r="O51" s="64"/>
      <c r="P51" s="64"/>
      <c r="Q51" s="64"/>
    </row>
    <row r="52" spans="1:18">
      <c r="A52" s="1788"/>
      <c r="B52" s="825" t="s">
        <v>219</v>
      </c>
      <c r="C52" s="805">
        <v>0</v>
      </c>
      <c r="D52" s="805">
        <v>0</v>
      </c>
      <c r="E52" s="805">
        <v>0</v>
      </c>
      <c r="F52" s="805">
        <v>0</v>
      </c>
      <c r="G52" s="805">
        <v>0</v>
      </c>
      <c r="H52" s="770">
        <v>0</v>
      </c>
      <c r="K52" s="64"/>
      <c r="L52" s="64"/>
      <c r="M52" s="64"/>
      <c r="N52" s="64"/>
      <c r="O52" s="64"/>
      <c r="P52" s="64"/>
      <c r="Q52" s="64"/>
    </row>
    <row r="53" spans="1:18">
      <c r="A53" s="1788"/>
      <c r="B53" s="825" t="s">
        <v>220</v>
      </c>
      <c r="C53" s="805">
        <v>0</v>
      </c>
      <c r="D53" s="805">
        <v>0</v>
      </c>
      <c r="E53" s="805">
        <v>0</v>
      </c>
      <c r="F53" s="805">
        <v>0</v>
      </c>
      <c r="G53" s="805">
        <v>0</v>
      </c>
      <c r="H53" s="770">
        <v>0</v>
      </c>
      <c r="K53" s="64"/>
      <c r="L53" s="64"/>
      <c r="M53" s="64"/>
      <c r="N53" s="64"/>
      <c r="O53" s="64"/>
      <c r="P53" s="64"/>
      <c r="Q53" s="64"/>
    </row>
    <row r="54" spans="1:18">
      <c r="A54" s="1789"/>
      <c r="B54" s="825" t="s">
        <v>50</v>
      </c>
      <c r="C54" s="805">
        <v>0</v>
      </c>
      <c r="D54" s="805">
        <v>0</v>
      </c>
      <c r="E54" s="805">
        <v>0</v>
      </c>
      <c r="F54" s="805">
        <v>0</v>
      </c>
      <c r="G54" s="805">
        <v>0</v>
      </c>
      <c r="H54" s="770">
        <v>0</v>
      </c>
      <c r="K54" s="64"/>
      <c r="L54" s="64"/>
      <c r="M54" s="64"/>
      <c r="N54" s="64"/>
      <c r="O54" s="64"/>
      <c r="P54" s="64"/>
      <c r="Q54" s="64"/>
    </row>
    <row r="55" spans="1:18">
      <c r="A55" s="1240" t="s">
        <v>56</v>
      </c>
      <c r="B55" s="1235" t="s">
        <v>59</v>
      </c>
      <c r="C55" s="1236">
        <v>-0.375</v>
      </c>
      <c r="D55" s="1236">
        <v>-0.375</v>
      </c>
      <c r="E55" s="1236">
        <v>-0.375</v>
      </c>
      <c r="F55" s="1236">
        <v>-0.5</v>
      </c>
      <c r="G55" s="1236" t="s">
        <v>14</v>
      </c>
      <c r="H55" s="904" t="s">
        <v>14</v>
      </c>
      <c r="K55" s="64"/>
      <c r="L55" s="64"/>
      <c r="M55" s="64"/>
      <c r="N55" s="64"/>
      <c r="O55" s="64"/>
      <c r="P55" s="64"/>
      <c r="Q55" s="64"/>
    </row>
    <row r="56" spans="1:18">
      <c r="A56" s="1788" t="s">
        <v>62</v>
      </c>
      <c r="B56" s="825" t="s">
        <v>63</v>
      </c>
      <c r="C56" s="805">
        <v>-0.125</v>
      </c>
      <c r="D56" s="805">
        <v>-0.125</v>
      </c>
      <c r="E56" s="805">
        <v>-0.125</v>
      </c>
      <c r="F56" s="805">
        <v>-0.25</v>
      </c>
      <c r="G56" s="805">
        <v>-0.5</v>
      </c>
      <c r="H56" s="770" t="s">
        <v>14</v>
      </c>
      <c r="K56" s="64"/>
      <c r="L56" s="64"/>
      <c r="M56" s="64"/>
      <c r="N56" s="64"/>
      <c r="O56" s="64"/>
      <c r="P56" s="64"/>
      <c r="Q56" s="64"/>
    </row>
    <row r="57" spans="1:18">
      <c r="A57" s="1788"/>
      <c r="B57" s="824" t="s">
        <v>182</v>
      </c>
      <c r="C57" s="805">
        <v>-1.375</v>
      </c>
      <c r="D57" s="805">
        <v>-1.375</v>
      </c>
      <c r="E57" s="805">
        <v>-1.375</v>
      </c>
      <c r="F57" s="805">
        <v>-1.375</v>
      </c>
      <c r="G57" s="805">
        <v>-1.375</v>
      </c>
      <c r="H57" s="770" t="s">
        <v>14</v>
      </c>
      <c r="K57" s="64"/>
      <c r="L57" s="64"/>
      <c r="M57" s="64"/>
      <c r="N57" s="64"/>
      <c r="O57" s="64"/>
      <c r="P57" s="64"/>
      <c r="Q57" s="64"/>
    </row>
    <row r="58" spans="1:18">
      <c r="A58" s="1789"/>
      <c r="B58" s="826" t="s">
        <v>64</v>
      </c>
      <c r="C58" s="806">
        <v>-0.5</v>
      </c>
      <c r="D58" s="806">
        <v>-0.5</v>
      </c>
      <c r="E58" s="806">
        <v>-0.5</v>
      </c>
      <c r="F58" s="806">
        <v>-0.5</v>
      </c>
      <c r="G58" s="806">
        <v>-0.625</v>
      </c>
      <c r="H58" s="807" t="s">
        <v>14</v>
      </c>
      <c r="K58" s="64"/>
      <c r="L58" s="64"/>
      <c r="M58" s="64"/>
      <c r="N58" s="64"/>
      <c r="O58" s="64"/>
      <c r="P58" s="64"/>
      <c r="Q58" s="64"/>
    </row>
    <row r="59" spans="1:18">
      <c r="A59" s="1787" t="s">
        <v>65</v>
      </c>
      <c r="B59" s="824" t="s">
        <v>135</v>
      </c>
      <c r="C59" s="805">
        <v>-0.25</v>
      </c>
      <c r="D59" s="805">
        <v>-0.25</v>
      </c>
      <c r="E59" s="805">
        <v>-0.25</v>
      </c>
      <c r="F59" s="805">
        <v>-0.25</v>
      </c>
      <c r="G59" s="805">
        <v>-0.25</v>
      </c>
      <c r="H59" s="770">
        <v>-0.375</v>
      </c>
      <c r="K59" s="64"/>
      <c r="L59" s="64"/>
      <c r="M59" s="64"/>
      <c r="N59" s="64"/>
      <c r="O59" s="64"/>
      <c r="P59" s="64"/>
      <c r="Q59" s="64"/>
    </row>
    <row r="60" spans="1:18">
      <c r="A60" s="1789"/>
      <c r="B60" s="824" t="s">
        <v>136</v>
      </c>
      <c r="C60" s="805">
        <v>-0.5</v>
      </c>
      <c r="D60" s="805">
        <v>-0.5</v>
      </c>
      <c r="E60" s="805">
        <v>-0.5</v>
      </c>
      <c r="F60" s="805">
        <v>-0.5</v>
      </c>
      <c r="G60" s="805">
        <v>-0.625</v>
      </c>
      <c r="H60" s="770">
        <v>-0.75</v>
      </c>
      <c r="K60" s="64"/>
      <c r="L60" s="64"/>
      <c r="M60" s="64"/>
      <c r="N60" s="64"/>
      <c r="O60" s="64"/>
      <c r="P60" s="64"/>
      <c r="Q60" s="64"/>
    </row>
    <row r="61" spans="1:18">
      <c r="A61" s="1790" t="s">
        <v>651</v>
      </c>
      <c r="B61" s="827" t="s">
        <v>95</v>
      </c>
      <c r="C61" s="802">
        <v>1</v>
      </c>
      <c r="D61" s="802">
        <v>1</v>
      </c>
      <c r="E61" s="802">
        <v>1</v>
      </c>
      <c r="F61" s="802">
        <v>1</v>
      </c>
      <c r="G61" s="802">
        <v>1.125</v>
      </c>
      <c r="H61" s="803">
        <v>1.125</v>
      </c>
      <c r="K61" s="64"/>
      <c r="L61" s="64"/>
      <c r="M61" s="64"/>
      <c r="N61" s="64"/>
      <c r="O61" s="64"/>
      <c r="P61" s="64"/>
      <c r="Q61" s="64"/>
      <c r="R61" s="64"/>
    </row>
    <row r="62" spans="1:18">
      <c r="A62" s="1791"/>
      <c r="B62" s="824" t="s">
        <v>96</v>
      </c>
      <c r="C62" s="805">
        <v>0.75</v>
      </c>
      <c r="D62" s="805">
        <v>0.75</v>
      </c>
      <c r="E62" s="805">
        <v>0.75</v>
      </c>
      <c r="F62" s="805">
        <v>0.75</v>
      </c>
      <c r="G62" s="805">
        <v>0.875</v>
      </c>
      <c r="H62" s="770">
        <v>0.875</v>
      </c>
      <c r="K62" s="64"/>
      <c r="L62" s="64"/>
      <c r="M62" s="64"/>
      <c r="N62" s="64"/>
      <c r="O62" s="64"/>
      <c r="P62" s="64"/>
      <c r="Q62" s="64"/>
      <c r="R62" s="64"/>
    </row>
    <row r="63" spans="1:18">
      <c r="A63" s="1791"/>
      <c r="B63" s="824" t="s">
        <v>7</v>
      </c>
      <c r="C63" s="805">
        <v>0.5</v>
      </c>
      <c r="D63" s="805">
        <v>0.5</v>
      </c>
      <c r="E63" s="805">
        <v>0.5</v>
      </c>
      <c r="F63" s="805">
        <v>0.5</v>
      </c>
      <c r="G63" s="805">
        <v>0.625</v>
      </c>
      <c r="H63" s="770">
        <v>0.625</v>
      </c>
      <c r="K63" s="64"/>
      <c r="L63" s="64"/>
      <c r="M63" s="64"/>
      <c r="N63" s="64"/>
      <c r="O63" s="64"/>
      <c r="P63" s="64"/>
      <c r="Q63" s="64"/>
      <c r="R63" s="64"/>
    </row>
    <row r="64" spans="1:18">
      <c r="A64" s="1791"/>
      <c r="B64" s="824" t="s">
        <v>9</v>
      </c>
      <c r="C64" s="805">
        <v>0</v>
      </c>
      <c r="D64" s="805">
        <v>0</v>
      </c>
      <c r="E64" s="805">
        <v>0</v>
      </c>
      <c r="F64" s="805">
        <v>0</v>
      </c>
      <c r="G64" s="805">
        <v>0.125</v>
      </c>
      <c r="H64" s="770">
        <v>0.125</v>
      </c>
      <c r="K64" s="64"/>
      <c r="L64" s="64"/>
      <c r="M64" s="64"/>
      <c r="N64" s="64"/>
      <c r="O64" s="64"/>
      <c r="P64" s="64"/>
      <c r="Q64" s="64"/>
      <c r="R64" s="64"/>
    </row>
    <row r="65" spans="1:17">
      <c r="A65" s="1791"/>
      <c r="B65" s="824" t="s">
        <v>11</v>
      </c>
      <c r="C65" s="805">
        <v>-0.5</v>
      </c>
      <c r="D65" s="805">
        <v>-0.5</v>
      </c>
      <c r="E65" s="805">
        <v>-0.5</v>
      </c>
      <c r="F65" s="805">
        <v>-0.5</v>
      </c>
      <c r="G65" s="805">
        <v>-0.50000000000000022</v>
      </c>
      <c r="H65" s="770">
        <v>-0.50000000000000022</v>
      </c>
      <c r="K65" s="64"/>
      <c r="L65" s="64"/>
      <c r="M65" s="64"/>
      <c r="N65" s="64"/>
      <c r="O65" s="64"/>
      <c r="P65" s="64"/>
      <c r="Q65" s="64"/>
    </row>
    <row r="66" spans="1:17">
      <c r="A66" s="1792"/>
      <c r="B66" s="823" t="s">
        <v>97</v>
      </c>
      <c r="C66" s="806">
        <v>-1.0000000000000002</v>
      </c>
      <c r="D66" s="806">
        <v>-1.0000000000000002</v>
      </c>
      <c r="E66" s="806">
        <v>-1</v>
      </c>
      <c r="F66" s="806">
        <v>-1</v>
      </c>
      <c r="G66" s="806">
        <v>-1</v>
      </c>
      <c r="H66" s="807">
        <v>-1</v>
      </c>
      <c r="K66" s="64"/>
      <c r="L66" s="64"/>
      <c r="M66" s="64"/>
      <c r="N66" s="64"/>
      <c r="O66" s="64"/>
      <c r="P66" s="64"/>
      <c r="Q66" s="64"/>
    </row>
    <row r="67" spans="1:17">
      <c r="A67" s="1233" t="s">
        <v>646</v>
      </c>
      <c r="B67" s="828" t="s">
        <v>95</v>
      </c>
      <c r="C67" s="805">
        <v>0.625</v>
      </c>
      <c r="D67" s="805">
        <v>0.625</v>
      </c>
      <c r="E67" s="805">
        <v>0.625</v>
      </c>
      <c r="F67" s="805">
        <v>0.625</v>
      </c>
      <c r="G67" s="805">
        <v>0.75</v>
      </c>
      <c r="H67" s="770">
        <v>0.75</v>
      </c>
      <c r="K67" s="64"/>
      <c r="L67" s="64"/>
      <c r="M67" s="64"/>
      <c r="N67" s="64"/>
      <c r="O67" s="64"/>
      <c r="P67" s="64"/>
      <c r="Q67" s="64"/>
    </row>
    <row r="68" spans="1:17">
      <c r="A68" s="1234" t="s">
        <v>225</v>
      </c>
      <c r="B68" s="828" t="s">
        <v>96</v>
      </c>
      <c r="C68" s="805">
        <v>0.375</v>
      </c>
      <c r="D68" s="805">
        <v>0.375</v>
      </c>
      <c r="E68" s="805">
        <v>0.375</v>
      </c>
      <c r="F68" s="805">
        <v>0.375</v>
      </c>
      <c r="G68" s="805">
        <v>0.5</v>
      </c>
      <c r="H68" s="770">
        <v>0.5</v>
      </c>
      <c r="K68" s="64"/>
      <c r="L68" s="64"/>
      <c r="M68" s="64"/>
      <c r="N68" s="64"/>
      <c r="O68" s="64"/>
      <c r="P68" s="64"/>
      <c r="Q68" s="64"/>
    </row>
    <row r="69" spans="1:17">
      <c r="A69" s="1234" t="s">
        <v>647</v>
      </c>
      <c r="B69" s="828" t="s">
        <v>7</v>
      </c>
      <c r="C69" s="805">
        <v>0.125</v>
      </c>
      <c r="D69" s="805">
        <v>0.125</v>
      </c>
      <c r="E69" s="805">
        <v>0.125</v>
      </c>
      <c r="F69" s="805">
        <v>0.125</v>
      </c>
      <c r="G69" s="805">
        <v>0.25</v>
      </c>
      <c r="H69" s="770">
        <v>0.25</v>
      </c>
      <c r="K69" s="64"/>
      <c r="L69" s="64"/>
      <c r="M69" s="64"/>
      <c r="N69" s="64"/>
      <c r="O69" s="64"/>
      <c r="P69" s="64"/>
      <c r="Q69" s="64"/>
    </row>
    <row r="70" spans="1:17">
      <c r="A70" s="1234" t="s">
        <v>204</v>
      </c>
      <c r="B70" s="828" t="s">
        <v>9</v>
      </c>
      <c r="C70" s="805">
        <v>-0.375</v>
      </c>
      <c r="D70" s="805">
        <v>-0.375</v>
      </c>
      <c r="E70" s="805">
        <v>-0.375</v>
      </c>
      <c r="F70" s="805">
        <v>-0.375</v>
      </c>
      <c r="G70" s="805">
        <v>-0.25</v>
      </c>
      <c r="H70" s="770">
        <v>-0.25</v>
      </c>
      <c r="K70" s="64"/>
      <c r="L70" s="64"/>
      <c r="M70" s="64"/>
      <c r="N70" s="64"/>
      <c r="O70" s="64"/>
      <c r="P70" s="64"/>
      <c r="Q70" s="64"/>
    </row>
    <row r="71" spans="1:17">
      <c r="A71" s="1234" t="s">
        <v>648</v>
      </c>
      <c r="B71" s="828" t="s">
        <v>11</v>
      </c>
      <c r="C71" s="805">
        <v>-0.875</v>
      </c>
      <c r="D71" s="805">
        <v>-0.875</v>
      </c>
      <c r="E71" s="805">
        <v>-0.875</v>
      </c>
      <c r="F71" s="805">
        <v>-0.875</v>
      </c>
      <c r="G71" s="805">
        <v>-0.87500000000000022</v>
      </c>
      <c r="H71" s="770">
        <v>-0.87500000000000022</v>
      </c>
      <c r="K71" s="64"/>
      <c r="L71" s="64"/>
      <c r="M71" s="64"/>
      <c r="N71" s="64"/>
      <c r="O71" s="64"/>
      <c r="P71" s="64"/>
      <c r="Q71" s="64"/>
    </row>
    <row r="72" spans="1:17">
      <c r="A72" s="1234"/>
      <c r="B72" s="828" t="s">
        <v>97</v>
      </c>
      <c r="C72" s="805">
        <v>-1.0000000000000002</v>
      </c>
      <c r="D72" s="805">
        <v>-1.0000000000000002</v>
      </c>
      <c r="E72" s="805">
        <v>-1</v>
      </c>
      <c r="F72" s="805">
        <v>-1</v>
      </c>
      <c r="G72" s="805">
        <v>-1</v>
      </c>
      <c r="H72" s="770">
        <v>-1</v>
      </c>
      <c r="K72" s="64"/>
      <c r="L72" s="64"/>
      <c r="M72" s="64"/>
      <c r="N72" s="64"/>
      <c r="O72" s="64"/>
      <c r="P72" s="64"/>
      <c r="Q72" s="64"/>
    </row>
    <row r="73" spans="1:17">
      <c r="A73" s="1781" t="s">
        <v>68</v>
      </c>
      <c r="B73" s="1238" t="s">
        <v>69</v>
      </c>
      <c r="C73" s="802">
        <v>-0.25</v>
      </c>
      <c r="D73" s="802">
        <v>-0.25</v>
      </c>
      <c r="E73" s="802">
        <v>-0.25</v>
      </c>
      <c r="F73" s="802">
        <v>-0.25</v>
      </c>
      <c r="G73" s="802">
        <v>-0.25</v>
      </c>
      <c r="H73" s="803">
        <v>-0.5</v>
      </c>
      <c r="K73" s="64"/>
      <c r="L73" s="64"/>
      <c r="M73" s="64"/>
      <c r="N73" s="64"/>
      <c r="O73" s="64"/>
      <c r="P73" s="64"/>
      <c r="Q73" s="64"/>
    </row>
    <row r="74" spans="1:17">
      <c r="A74" s="1782"/>
      <c r="B74" s="1237" t="s">
        <v>469</v>
      </c>
      <c r="C74" s="805">
        <v>-1.25</v>
      </c>
      <c r="D74" s="805">
        <v>-1.25</v>
      </c>
      <c r="E74" s="805">
        <v>-1.25</v>
      </c>
      <c r="F74" s="805">
        <v>-1.25</v>
      </c>
      <c r="G74" s="805">
        <v>-1.25</v>
      </c>
      <c r="H74" s="770">
        <v>-1.625</v>
      </c>
      <c r="K74" s="64"/>
      <c r="L74" s="64"/>
      <c r="M74" s="64"/>
      <c r="N74" s="64"/>
      <c r="O74" s="64"/>
      <c r="P74" s="64"/>
      <c r="Q74" s="64"/>
    </row>
    <row r="75" spans="1:17">
      <c r="A75" s="1783"/>
      <c r="B75" s="1239" t="s">
        <v>653</v>
      </c>
      <c r="C75" s="806">
        <v>-0.25</v>
      </c>
      <c r="D75" s="806">
        <v>-0.25</v>
      </c>
      <c r="E75" s="806">
        <v>-0.25</v>
      </c>
      <c r="F75" s="806">
        <v>-0.25</v>
      </c>
      <c r="G75" s="806">
        <v>-0.25</v>
      </c>
      <c r="H75" s="807">
        <v>-0.25</v>
      </c>
      <c r="K75" s="64"/>
      <c r="O75" s="64"/>
      <c r="P75" s="64"/>
      <c r="Q75" s="64"/>
    </row>
    <row r="76" spans="1:17">
      <c r="A76" s="444" t="s">
        <v>133</v>
      </c>
      <c r="B76" s="826" t="s">
        <v>134</v>
      </c>
      <c r="C76" s="806">
        <v>0</v>
      </c>
      <c r="D76" s="806">
        <v>0</v>
      </c>
      <c r="E76" s="806">
        <v>0</v>
      </c>
      <c r="F76" s="806">
        <v>0</v>
      </c>
      <c r="G76" s="806">
        <v>0</v>
      </c>
      <c r="H76" s="807">
        <v>-0.25</v>
      </c>
      <c r="K76" s="64"/>
      <c r="O76" s="64"/>
      <c r="P76" s="64"/>
      <c r="Q76" s="64"/>
    </row>
  </sheetData>
  <mergeCells count="17">
    <mergeCell ref="C2:J2"/>
    <mergeCell ref="B7:D7"/>
    <mergeCell ref="F7:G7"/>
    <mergeCell ref="H7:I7"/>
    <mergeCell ref="F17:H18"/>
    <mergeCell ref="A73:A75"/>
    <mergeCell ref="A41:A43"/>
    <mergeCell ref="A50:A54"/>
    <mergeCell ref="A56:A58"/>
    <mergeCell ref="A44:A45"/>
    <mergeCell ref="A59:A60"/>
    <mergeCell ref="A61:A66"/>
    <mergeCell ref="F19:H20"/>
    <mergeCell ref="F21:H22"/>
    <mergeCell ref="F23:H24"/>
    <mergeCell ref="F25:H26"/>
    <mergeCell ref="F27:H28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37" customWidth="1"/>
    <col min="2" max="2" width="17.7109375" style="936" customWidth="1"/>
    <col min="3" max="4" width="13.7109375" style="936" customWidth="1"/>
    <col min="5" max="5" width="1.5703125" style="936" customWidth="1"/>
    <col min="6" max="6" width="13.85546875" style="936" customWidth="1"/>
    <col min="7" max="8" width="13.7109375" style="936" customWidth="1"/>
    <col min="9" max="9" width="1.5703125" style="936" customWidth="1"/>
    <col min="10" max="11" width="13.7109375" style="936" customWidth="1"/>
    <col min="12" max="12" width="16.5703125" style="936" customWidth="1"/>
    <col min="13" max="13" width="1.42578125" style="936" customWidth="1"/>
    <col min="14" max="16" width="13.7109375" style="936" customWidth="1"/>
    <col min="17" max="17" width="2" style="936" customWidth="1"/>
    <col min="18" max="16384" width="9.140625" style="935"/>
  </cols>
  <sheetData>
    <row r="1" spans="1:17">
      <c r="A1" s="1078" t="s">
        <v>582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6"/>
    </row>
    <row r="2" spans="1:17">
      <c r="A2" s="1060"/>
      <c r="B2" s="1061"/>
      <c r="C2" s="1058"/>
      <c r="D2" s="1074"/>
      <c r="E2" s="1074"/>
      <c r="F2" s="1058"/>
      <c r="G2" s="1058"/>
      <c r="H2" s="1058"/>
      <c r="I2" s="1058"/>
      <c r="J2" s="1058"/>
      <c r="K2" s="1058"/>
      <c r="L2" s="2107" t="s">
        <v>329</v>
      </c>
      <c r="M2" s="2107"/>
      <c r="N2" s="2107"/>
      <c r="O2" s="2108">
        <f ca="1">NOW()</f>
        <v>46223.360261689813</v>
      </c>
      <c r="P2" s="2108"/>
      <c r="Q2" s="1075"/>
    </row>
    <row r="3" spans="1:17">
      <c r="A3" s="1060"/>
      <c r="B3" s="1061"/>
      <c r="C3" s="1074"/>
      <c r="D3" s="1073"/>
      <c r="E3" s="1063"/>
      <c r="F3" s="1058"/>
      <c r="G3" s="1058"/>
      <c r="H3" s="1058"/>
      <c r="I3" s="1058"/>
      <c r="J3" s="1058"/>
      <c r="K3" s="1058"/>
      <c r="L3" s="1059"/>
      <c r="M3" s="1061"/>
      <c r="N3" s="2108"/>
      <c r="O3" s="2108"/>
      <c r="P3" s="1072" t="s">
        <v>581</v>
      </c>
      <c r="Q3" s="1068"/>
    </row>
    <row r="4" spans="1:17">
      <c r="A4" s="1060"/>
      <c r="B4" s="1061"/>
      <c r="C4" s="1061"/>
      <c r="D4" s="1066"/>
      <c r="E4" s="1063"/>
      <c r="F4" s="1058"/>
      <c r="G4" s="1058"/>
      <c r="H4" s="1058"/>
      <c r="I4" s="1058"/>
      <c r="J4" s="1058"/>
      <c r="K4" s="1058"/>
      <c r="L4" s="1058"/>
      <c r="M4" s="1061"/>
      <c r="N4" s="1061"/>
      <c r="O4" s="2107"/>
      <c r="P4" s="2107"/>
      <c r="Q4" s="1068"/>
    </row>
    <row r="5" spans="1:17" ht="15.75">
      <c r="A5" s="1060"/>
      <c r="B5" s="1071"/>
      <c r="C5" s="1070"/>
      <c r="D5" s="1069"/>
      <c r="E5" s="1063"/>
      <c r="F5" s="1058"/>
      <c r="G5" s="1058"/>
      <c r="H5" s="1058"/>
      <c r="I5" s="1058"/>
      <c r="J5" s="1058"/>
      <c r="K5" s="1058"/>
      <c r="L5" s="1058"/>
      <c r="M5" s="1059"/>
      <c r="N5" s="1059"/>
      <c r="O5" s="2109"/>
      <c r="P5" s="2109"/>
      <c r="Q5" s="1068"/>
    </row>
    <row r="6" spans="1:17">
      <c r="A6" s="1067"/>
      <c r="B6" s="1066"/>
      <c r="C6" s="1066"/>
      <c r="D6" s="1058"/>
      <c r="E6" s="1063"/>
      <c r="F6" s="1058"/>
      <c r="G6" s="1058"/>
      <c r="H6" s="1058"/>
      <c r="I6" s="1058"/>
      <c r="J6" s="1058"/>
      <c r="K6" s="1058"/>
      <c r="L6" s="1058"/>
      <c r="M6" s="1059"/>
      <c r="N6" s="2131"/>
      <c r="O6" s="2132"/>
      <c r="P6" s="2132"/>
      <c r="Q6" s="1065"/>
    </row>
    <row r="7" spans="1:17">
      <c r="A7" s="1060"/>
      <c r="B7" s="1064"/>
      <c r="C7" s="1059"/>
      <c r="D7" s="1064"/>
      <c r="E7" s="1063"/>
      <c r="F7" s="1058"/>
      <c r="G7" s="1058"/>
      <c r="H7" s="1058"/>
      <c r="I7" s="1058"/>
      <c r="J7" s="1058"/>
      <c r="K7" s="1058"/>
      <c r="L7" s="1058"/>
      <c r="M7" s="1058"/>
      <c r="N7" s="2133"/>
      <c r="O7" s="2133"/>
      <c r="P7" s="2133"/>
      <c r="Q7" s="1056"/>
    </row>
    <row r="8" spans="1:17">
      <c r="A8" s="1060"/>
      <c r="B8" s="1064"/>
      <c r="C8" s="1059"/>
      <c r="D8" s="1064"/>
      <c r="E8" s="1063"/>
      <c r="F8" s="1058"/>
      <c r="G8" s="1058"/>
      <c r="H8" s="1058"/>
      <c r="I8" s="1058"/>
      <c r="J8" s="1058"/>
      <c r="K8" s="1058"/>
      <c r="L8" s="1059"/>
      <c r="M8" s="1059"/>
      <c r="N8" s="2133"/>
      <c r="O8" s="2133"/>
      <c r="P8" s="2133"/>
      <c r="Q8" s="1056"/>
    </row>
    <row r="9" spans="1:17">
      <c r="A9" s="1060"/>
      <c r="B9" s="1064"/>
      <c r="C9" s="1059"/>
      <c r="D9" s="1064"/>
      <c r="E9" s="1063"/>
      <c r="F9" s="1058"/>
      <c r="G9" s="1058"/>
      <c r="H9" s="1058"/>
      <c r="I9" s="1058"/>
      <c r="J9" s="1058"/>
      <c r="K9" s="1058"/>
      <c r="L9" s="1059"/>
      <c r="M9" s="1059"/>
      <c r="N9" s="1062"/>
      <c r="O9" s="1061"/>
      <c r="P9" s="1057"/>
      <c r="Q9" s="1056"/>
    </row>
    <row r="10" spans="1:17">
      <c r="A10" s="1060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3"/>
      <c r="N10" s="1058"/>
      <c r="O10" s="1058"/>
      <c r="P10" s="1057"/>
      <c r="Q10" s="1056"/>
    </row>
    <row r="11" spans="1:17">
      <c r="A11" s="1055"/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3"/>
      <c r="Q11" s="1052"/>
    </row>
    <row r="12" spans="1:17" ht="15" customHeight="1">
      <c r="A12" s="2111" t="s">
        <v>337</v>
      </c>
      <c r="B12" s="2112"/>
      <c r="C12" s="2112"/>
      <c r="D12" s="2112"/>
      <c r="E12" s="2112"/>
      <c r="F12" s="2112"/>
      <c r="G12" s="2112"/>
      <c r="H12" s="2112"/>
      <c r="I12" s="2112"/>
      <c r="J12" s="2112"/>
      <c r="K12" s="2112"/>
      <c r="L12" s="2112"/>
      <c r="M12" s="2112"/>
      <c r="N12" s="2112"/>
      <c r="O12" s="2112"/>
      <c r="P12" s="2112"/>
      <c r="Q12" s="2113"/>
    </row>
    <row r="13" spans="1:17" ht="15.75" customHeight="1" thickBot="1">
      <c r="A13" s="2134"/>
      <c r="B13" s="2135"/>
      <c r="C13" s="2135"/>
      <c r="D13" s="2135"/>
      <c r="E13" s="2135"/>
      <c r="F13" s="2135"/>
      <c r="G13" s="2135"/>
      <c r="H13" s="2135"/>
      <c r="I13" s="2135"/>
      <c r="J13" s="2135"/>
      <c r="K13" s="2135"/>
      <c r="L13" s="2135"/>
      <c r="M13" s="2135"/>
      <c r="N13" s="2135"/>
      <c r="O13" s="2135"/>
      <c r="P13" s="2135"/>
      <c r="Q13" s="2136"/>
    </row>
    <row r="14" spans="1:17">
      <c r="A14" s="956"/>
      <c r="B14" s="1051"/>
      <c r="C14" s="1051"/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952"/>
    </row>
    <row r="15" spans="1:17" ht="15" customHeight="1">
      <c r="A15" s="956"/>
      <c r="B15" s="1198" t="s">
        <v>580</v>
      </c>
      <c r="C15" s="1033"/>
      <c r="D15" s="1033"/>
      <c r="E15" s="1033"/>
      <c r="F15" s="1033"/>
      <c r="G15" s="1033"/>
      <c r="H15" s="1033"/>
      <c r="I15" s="1033"/>
      <c r="J15" s="1033"/>
      <c r="K15" s="1033"/>
      <c r="L15" s="1033"/>
      <c r="M15" s="1033"/>
      <c r="N15" s="1033"/>
      <c r="O15" s="1033"/>
      <c r="P15" s="1033"/>
      <c r="Q15" s="952"/>
    </row>
    <row r="16" spans="1:17" ht="15" customHeight="1">
      <c r="A16" s="956"/>
      <c r="B16" s="1033"/>
      <c r="C16" s="1033"/>
      <c r="D16" s="1033"/>
      <c r="E16" s="1033"/>
      <c r="F16" s="1033"/>
      <c r="G16" s="1033"/>
      <c r="H16" s="1033"/>
      <c r="I16" s="1033"/>
      <c r="J16" s="2110"/>
      <c r="K16" s="2110"/>
      <c r="L16" s="1033"/>
      <c r="M16" s="1033"/>
      <c r="N16" s="1033"/>
      <c r="O16" s="1033"/>
      <c r="P16" s="1033"/>
      <c r="Q16" s="952"/>
    </row>
    <row r="17" spans="1:17" ht="15" customHeight="1">
      <c r="A17" s="956"/>
      <c r="B17" s="1033"/>
      <c r="C17" s="1033"/>
      <c r="D17" s="1033"/>
      <c r="E17" s="1033"/>
      <c r="F17" s="1033"/>
      <c r="G17" s="1033"/>
      <c r="H17" s="1033"/>
      <c r="I17" s="1033"/>
      <c r="J17" s="988"/>
      <c r="K17" s="1043"/>
      <c r="L17" s="1042"/>
      <c r="M17" s="1033"/>
      <c r="N17" s="1041"/>
      <c r="O17" s="1040"/>
      <c r="P17" s="1199"/>
      <c r="Q17" s="952"/>
    </row>
    <row r="18" spans="1:17" ht="15" customHeight="1">
      <c r="A18" s="956"/>
      <c r="B18" s="1033"/>
      <c r="C18" s="1033"/>
      <c r="D18" s="1033"/>
      <c r="E18" s="1033"/>
      <c r="F18" s="1033"/>
      <c r="G18" s="1033"/>
      <c r="H18" s="1033"/>
      <c r="I18" s="1033"/>
      <c r="J18" s="2110"/>
      <c r="K18" s="2110"/>
      <c r="L18" s="1047"/>
      <c r="M18" s="1045"/>
      <c r="N18" s="1040"/>
      <c r="O18" s="1045"/>
      <c r="P18" s="1200"/>
      <c r="Q18" s="952"/>
    </row>
    <row r="19" spans="1:17" ht="15" customHeight="1">
      <c r="A19" s="956"/>
      <c r="B19" s="1033"/>
      <c r="C19" s="1033"/>
      <c r="D19" s="1033"/>
      <c r="E19" s="1033"/>
      <c r="F19" s="1033"/>
      <c r="G19" s="1033"/>
      <c r="H19" s="1033"/>
      <c r="I19" s="1033"/>
      <c r="J19" s="988"/>
      <c r="K19" s="1043"/>
      <c r="L19" s="1042"/>
      <c r="M19" s="1033"/>
      <c r="N19" s="1041"/>
      <c r="O19" s="1040"/>
      <c r="P19" s="1199"/>
      <c r="Q19" s="952"/>
    </row>
    <row r="20" spans="1:17" ht="15" customHeight="1">
      <c r="A20" s="956"/>
      <c r="B20" s="1033"/>
      <c r="C20" s="1033"/>
      <c r="D20" s="1033"/>
      <c r="E20" s="1033"/>
      <c r="F20" s="1033"/>
      <c r="G20" s="1033"/>
      <c r="H20" s="1033"/>
      <c r="I20" s="1033"/>
      <c r="J20" s="2110"/>
      <c r="K20" s="2110"/>
      <c r="L20" s="1042"/>
      <c r="M20" s="1045"/>
      <c r="N20" s="1042"/>
      <c r="O20" s="1045"/>
      <c r="P20" s="1200"/>
      <c r="Q20" s="952"/>
    </row>
    <row r="21" spans="1:17" ht="15" customHeight="1">
      <c r="A21" s="956"/>
      <c r="B21" s="1033"/>
      <c r="C21" s="1033"/>
      <c r="D21" s="1033"/>
      <c r="E21" s="1033"/>
      <c r="F21" s="1033"/>
      <c r="G21" s="1033"/>
      <c r="H21" s="1033"/>
      <c r="I21" s="1033"/>
      <c r="J21" s="988"/>
      <c r="K21" s="1043"/>
      <c r="L21" s="1042"/>
      <c r="M21" s="1033"/>
      <c r="N21" s="1041"/>
      <c r="O21" s="1040"/>
      <c r="P21" s="1199"/>
      <c r="Q21" s="952"/>
    </row>
    <row r="22" spans="1:17" ht="14.25" customHeight="1">
      <c r="A22" s="956"/>
      <c r="B22" s="1033"/>
      <c r="C22" s="1033"/>
      <c r="D22" s="1033"/>
      <c r="E22" s="1033"/>
      <c r="F22" s="1033"/>
      <c r="G22" s="1033"/>
      <c r="H22" s="1033"/>
      <c r="I22" s="1033"/>
      <c r="J22" s="2110"/>
      <c r="K22" s="2110"/>
      <c r="L22" s="1045"/>
      <c r="M22" s="1045"/>
      <c r="N22" s="1046"/>
      <c r="O22" s="1045"/>
      <c r="P22" s="1200"/>
      <c r="Q22" s="952"/>
    </row>
    <row r="23" spans="1:17" ht="15" customHeight="1">
      <c r="A23" s="956"/>
      <c r="B23" s="1033"/>
      <c r="C23" s="1033"/>
      <c r="D23" s="1033"/>
      <c r="E23" s="1033"/>
      <c r="F23" s="1033"/>
      <c r="G23" s="1033"/>
      <c r="H23" s="1033"/>
      <c r="I23" s="1033"/>
      <c r="J23" s="988"/>
      <c r="K23" s="1043"/>
      <c r="L23" s="1042"/>
      <c r="M23" s="1033"/>
      <c r="N23" s="1041"/>
      <c r="O23" s="1040"/>
      <c r="P23" s="1199"/>
      <c r="Q23" s="952"/>
    </row>
    <row r="24" spans="1:17" ht="15" customHeight="1">
      <c r="A24" s="956"/>
      <c r="B24" s="1033"/>
      <c r="C24" s="1033"/>
      <c r="D24" s="1033"/>
      <c r="E24" s="1033"/>
      <c r="F24" s="1033"/>
      <c r="G24" s="1033"/>
      <c r="H24" s="1033"/>
      <c r="I24" s="1033"/>
      <c r="J24" s="1033"/>
      <c r="K24" s="1033"/>
      <c r="L24" s="1033" t="s">
        <v>579</v>
      </c>
      <c r="M24" s="1033"/>
      <c r="N24" s="1033"/>
      <c r="O24" s="1033"/>
      <c r="P24" s="1033"/>
      <c r="Q24" s="952"/>
    </row>
    <row r="25" spans="1:17" ht="15" customHeight="1">
      <c r="A25" s="956"/>
      <c r="B25" s="1033"/>
      <c r="C25" s="1033"/>
      <c r="D25" s="1033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3"/>
      <c r="Q25" s="952"/>
    </row>
    <row r="26" spans="1:17" ht="15" customHeight="1">
      <c r="A26" s="956"/>
      <c r="B26" s="1033"/>
      <c r="C26" s="1033"/>
      <c r="D26" s="1033"/>
      <c r="E26" s="1033"/>
      <c r="F26" s="1033"/>
      <c r="G26" s="1033"/>
      <c r="H26" s="1033"/>
      <c r="I26" s="1033"/>
      <c r="J26" s="1033"/>
      <c r="K26" s="1033"/>
      <c r="L26" s="1033"/>
      <c r="M26" s="1033"/>
      <c r="N26" s="1033"/>
      <c r="O26" s="1033"/>
      <c r="P26" s="1033"/>
      <c r="Q26" s="952"/>
    </row>
    <row r="27" spans="1:17" ht="15" customHeight="1">
      <c r="A27" s="956"/>
      <c r="B27" s="1033"/>
      <c r="C27" s="1033"/>
      <c r="D27" s="1033"/>
      <c r="E27" s="1033"/>
      <c r="F27" s="1033"/>
      <c r="G27" s="1033"/>
      <c r="H27" s="1033"/>
      <c r="I27" s="1033"/>
      <c r="J27" s="1033"/>
      <c r="K27" s="1033"/>
      <c r="L27" s="1033"/>
      <c r="M27" s="1033"/>
      <c r="N27" s="1033"/>
      <c r="O27" s="1033"/>
      <c r="P27" s="1033"/>
      <c r="Q27" s="952"/>
    </row>
    <row r="28" spans="1:17" ht="11.25" customHeight="1" thickBot="1">
      <c r="A28" s="956"/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952"/>
    </row>
    <row r="29" spans="1:17" ht="31.5" customHeight="1" thickBot="1">
      <c r="A29" s="956"/>
      <c r="B29" s="2128" t="s">
        <v>578</v>
      </c>
      <c r="C29" s="2129"/>
      <c r="D29" s="2129"/>
      <c r="E29" s="2129"/>
      <c r="F29" s="2129"/>
      <c r="G29" s="2129"/>
      <c r="H29" s="2130"/>
      <c r="I29" s="959"/>
      <c r="J29" s="1748" t="s">
        <v>577</v>
      </c>
      <c r="K29" s="1749"/>
      <c r="L29" s="1749"/>
      <c r="M29" s="1749"/>
      <c r="N29" s="1749"/>
      <c r="O29" s="1749"/>
      <c r="P29" s="1750"/>
      <c r="Q29" s="952"/>
    </row>
    <row r="30" spans="1:17" ht="29.25" customHeight="1">
      <c r="A30" s="956"/>
      <c r="B30" s="966"/>
      <c r="C30" s="959"/>
      <c r="D30" s="959"/>
      <c r="E30" s="959"/>
      <c r="F30" s="959"/>
      <c r="G30" s="959"/>
      <c r="H30" s="998"/>
      <c r="I30" s="959"/>
      <c r="J30" s="2119" t="s">
        <v>255</v>
      </c>
      <c r="K30" s="2120"/>
      <c r="L30" s="2120"/>
      <c r="M30" s="2120"/>
      <c r="N30" s="2120"/>
      <c r="O30" s="2120"/>
      <c r="P30" s="2121"/>
      <c r="Q30" s="952"/>
    </row>
    <row r="31" spans="1:17" ht="20.25" customHeight="1">
      <c r="A31" s="956"/>
      <c r="B31" s="1031" t="s">
        <v>383</v>
      </c>
      <c r="C31" s="965"/>
      <c r="D31" s="965"/>
      <c r="E31" s="1012"/>
      <c r="F31" s="1012"/>
      <c r="G31" s="2082" t="s">
        <v>171</v>
      </c>
      <c r="H31" s="2090"/>
      <c r="I31" s="959"/>
      <c r="J31" s="2122"/>
      <c r="K31" s="2123"/>
      <c r="L31" s="2123"/>
      <c r="M31" s="2123"/>
      <c r="N31" s="2123"/>
      <c r="O31" s="2123"/>
      <c r="P31" s="2124"/>
      <c r="Q31" s="952"/>
    </row>
    <row r="32" spans="1:17" ht="19.5" customHeight="1">
      <c r="A32" s="956"/>
      <c r="B32" s="1031" t="s">
        <v>576</v>
      </c>
      <c r="C32" s="1032"/>
      <c r="D32" s="965"/>
      <c r="E32" s="965"/>
      <c r="F32" s="965"/>
      <c r="G32" s="2082" t="s">
        <v>172</v>
      </c>
      <c r="H32" s="2090"/>
      <c r="I32" s="959"/>
      <c r="J32" s="2122"/>
      <c r="K32" s="2123"/>
      <c r="L32" s="2123"/>
      <c r="M32" s="2123"/>
      <c r="N32" s="2123"/>
      <c r="O32" s="2123"/>
      <c r="P32" s="2124"/>
      <c r="Q32" s="952"/>
    </row>
    <row r="33" spans="1:17" ht="20.25" customHeight="1">
      <c r="A33" s="956"/>
      <c r="B33" s="1031" t="s">
        <v>331</v>
      </c>
      <c r="G33" s="2082" t="s">
        <v>324</v>
      </c>
      <c r="H33" s="2090"/>
      <c r="I33" s="959"/>
      <c r="J33" s="2122"/>
      <c r="K33" s="2123"/>
      <c r="L33" s="2123"/>
      <c r="M33" s="2123"/>
      <c r="N33" s="2123"/>
      <c r="O33" s="2123"/>
      <c r="P33" s="2124"/>
      <c r="Q33" s="952"/>
    </row>
    <row r="34" spans="1:17" ht="20.25" customHeight="1">
      <c r="A34" s="956"/>
      <c r="B34" s="1031"/>
      <c r="C34" s="984"/>
      <c r="D34" s="965"/>
      <c r="E34" s="965"/>
      <c r="F34" s="965"/>
      <c r="G34" s="2082"/>
      <c r="H34" s="2090"/>
      <c r="I34" s="959"/>
      <c r="J34" s="2122"/>
      <c r="K34" s="2123"/>
      <c r="L34" s="2123"/>
      <c r="M34" s="2123"/>
      <c r="N34" s="2123"/>
      <c r="O34" s="2123"/>
      <c r="P34" s="2124"/>
      <c r="Q34" s="952"/>
    </row>
    <row r="35" spans="1:17" ht="20.25" customHeight="1">
      <c r="A35" s="956"/>
      <c r="B35" s="979"/>
      <c r="H35" s="940"/>
      <c r="I35" s="959"/>
      <c r="J35" s="2122"/>
      <c r="K35" s="2123"/>
      <c r="L35" s="2123"/>
      <c r="M35" s="2123"/>
      <c r="N35" s="2123"/>
      <c r="O35" s="2123"/>
      <c r="P35" s="2124"/>
      <c r="Q35" s="952"/>
    </row>
    <row r="36" spans="1:17" ht="20.25" customHeight="1">
      <c r="A36" s="956"/>
      <c r="B36" s="1030"/>
      <c r="C36" s="1029"/>
      <c r="D36" s="1029"/>
      <c r="E36" s="1029"/>
      <c r="F36" s="1029"/>
      <c r="G36" s="1029"/>
      <c r="H36" s="1028"/>
      <c r="I36" s="959"/>
      <c r="J36" s="2122"/>
      <c r="K36" s="2123"/>
      <c r="L36" s="2123"/>
      <c r="M36" s="2123"/>
      <c r="N36" s="2123"/>
      <c r="O36" s="2123"/>
      <c r="P36" s="2124"/>
      <c r="Q36" s="952"/>
    </row>
    <row r="37" spans="1:17" ht="20.25" customHeight="1">
      <c r="A37" s="956"/>
      <c r="B37" s="1027"/>
      <c r="C37" s="1026"/>
      <c r="D37" s="1026"/>
      <c r="E37" s="1026"/>
      <c r="F37" s="1026"/>
      <c r="G37" s="1026"/>
      <c r="H37" s="1025"/>
      <c r="I37" s="959"/>
      <c r="J37" s="2122"/>
      <c r="K37" s="2123"/>
      <c r="L37" s="2123"/>
      <c r="M37" s="2123"/>
      <c r="N37" s="2123"/>
      <c r="O37" s="2123"/>
      <c r="P37" s="2124"/>
      <c r="Q37" s="952"/>
    </row>
    <row r="38" spans="1:17" ht="21" customHeight="1" thickBot="1">
      <c r="A38" s="956"/>
      <c r="B38" s="1024"/>
      <c r="C38" s="1023"/>
      <c r="D38" s="1023"/>
      <c r="E38" s="1023"/>
      <c r="F38" s="1023"/>
      <c r="G38" s="1023"/>
      <c r="H38" s="1022"/>
      <c r="I38" s="959"/>
      <c r="J38" s="2125"/>
      <c r="K38" s="2126"/>
      <c r="L38" s="2126"/>
      <c r="M38" s="2126"/>
      <c r="N38" s="2126"/>
      <c r="O38" s="2126"/>
      <c r="P38" s="2127"/>
      <c r="Q38" s="952"/>
    </row>
    <row r="39" spans="1:17" ht="17.25" customHeight="1" thickBot="1">
      <c r="A39" s="956"/>
      <c r="B39" s="1021"/>
      <c r="C39" s="1020"/>
      <c r="D39" s="1020"/>
      <c r="E39" s="1020"/>
      <c r="F39" s="1020"/>
      <c r="G39" s="1020"/>
      <c r="H39" s="1019"/>
      <c r="I39" s="959"/>
      <c r="J39" s="1018"/>
      <c r="K39" s="1017"/>
      <c r="L39" s="1017"/>
      <c r="M39" s="1017"/>
      <c r="N39" s="1017"/>
      <c r="O39" s="1017"/>
      <c r="P39" s="938"/>
      <c r="Q39" s="952"/>
    </row>
    <row r="40" spans="1:17" ht="31.5" customHeight="1" thickBot="1">
      <c r="A40" s="956"/>
      <c r="B40" s="2087" t="s">
        <v>575</v>
      </c>
      <c r="C40" s="2088"/>
      <c r="D40" s="2088"/>
      <c r="E40" s="2088"/>
      <c r="F40" s="2088"/>
      <c r="G40" s="2088"/>
      <c r="H40" s="2089"/>
      <c r="I40" s="959"/>
      <c r="J40" s="2111" t="s">
        <v>574</v>
      </c>
      <c r="K40" s="2112"/>
      <c r="L40" s="2112"/>
      <c r="M40" s="2112"/>
      <c r="N40" s="2112"/>
      <c r="O40" s="2112"/>
      <c r="P40" s="2113"/>
      <c r="Q40" s="952"/>
    </row>
    <row r="41" spans="1:17" ht="20.25">
      <c r="A41" s="956"/>
      <c r="B41" s="2072" t="s">
        <v>573</v>
      </c>
      <c r="C41" s="2073"/>
      <c r="D41" s="2073"/>
      <c r="E41" s="1016"/>
      <c r="F41" s="2114">
        <v>1995</v>
      </c>
      <c r="G41" s="2114"/>
      <c r="H41" s="2115"/>
      <c r="I41" s="959"/>
      <c r="J41" s="2116" t="s">
        <v>572</v>
      </c>
      <c r="K41" s="2117"/>
      <c r="L41" s="2117"/>
      <c r="M41" s="2117"/>
      <c r="N41" s="2117"/>
      <c r="O41" s="2117"/>
      <c r="P41" s="2118"/>
      <c r="Q41" s="952"/>
    </row>
    <row r="42" spans="1:17" ht="20.25">
      <c r="A42" s="956"/>
      <c r="B42" s="2103" t="s">
        <v>571</v>
      </c>
      <c r="C42" s="2104"/>
      <c r="D42" s="2104"/>
      <c r="E42" s="1001"/>
      <c r="F42" s="2105">
        <v>599</v>
      </c>
      <c r="G42" s="2105"/>
      <c r="H42" s="2106"/>
      <c r="I42" s="959"/>
      <c r="J42" s="979"/>
      <c r="P42" s="940"/>
      <c r="Q42" s="952"/>
    </row>
    <row r="43" spans="1:17" ht="20.25">
      <c r="A43" s="956"/>
      <c r="B43" s="994"/>
      <c r="C43" s="988"/>
      <c r="D43" s="1015"/>
      <c r="E43" s="1015"/>
      <c r="F43" s="1014"/>
      <c r="G43" s="1014"/>
      <c r="H43" s="998"/>
      <c r="I43" s="959"/>
      <c r="J43" s="2091" t="s">
        <v>570</v>
      </c>
      <c r="K43" s="2092"/>
      <c r="L43" s="2092"/>
      <c r="M43" s="2092"/>
      <c r="N43" s="2092"/>
      <c r="O43" s="2092"/>
      <c r="P43" s="2093"/>
      <c r="Q43" s="952"/>
    </row>
    <row r="44" spans="1:17" ht="20.25">
      <c r="A44" s="956"/>
      <c r="B44" s="2081" t="s">
        <v>569</v>
      </c>
      <c r="C44" s="2082"/>
      <c r="D44" s="2082"/>
      <c r="E44" s="2082"/>
      <c r="F44" s="2082"/>
      <c r="G44" s="2082"/>
      <c r="H44" s="2090"/>
      <c r="I44" s="959"/>
      <c r="J44" s="2094" t="s">
        <v>568</v>
      </c>
      <c r="K44" s="2095"/>
      <c r="L44" s="2095"/>
      <c r="M44" s="2095"/>
      <c r="N44" s="2095"/>
      <c r="O44" s="2095"/>
      <c r="P44" s="2096"/>
      <c r="Q44" s="952"/>
    </row>
    <row r="45" spans="1:17" ht="20.25">
      <c r="A45" s="956"/>
      <c r="B45" s="2097" t="s">
        <v>567</v>
      </c>
      <c r="C45" s="2098"/>
      <c r="D45" s="2098"/>
      <c r="E45" s="2098"/>
      <c r="F45" s="2098"/>
      <c r="G45" s="2098"/>
      <c r="H45" s="2099"/>
      <c r="I45" s="959"/>
      <c r="J45" s="979"/>
      <c r="P45" s="940"/>
      <c r="Q45" s="952"/>
    </row>
    <row r="46" spans="1:17" ht="20.25">
      <c r="A46" s="956"/>
      <c r="B46" s="994"/>
      <c r="C46" s="988"/>
      <c r="D46" s="959"/>
      <c r="E46" s="959"/>
      <c r="F46" s="1014"/>
      <c r="G46" s="1014"/>
      <c r="H46" s="998"/>
      <c r="I46" s="959"/>
      <c r="J46" s="1010"/>
      <c r="K46" s="1009"/>
      <c r="L46" s="1009"/>
      <c r="M46" s="1009"/>
      <c r="N46" s="1009"/>
      <c r="O46" s="1009"/>
      <c r="P46" s="1008"/>
      <c r="Q46" s="952"/>
    </row>
    <row r="47" spans="1:17" ht="21" thickBot="1">
      <c r="A47" s="956"/>
      <c r="B47" s="1013"/>
      <c r="C47" s="1012"/>
      <c r="D47" s="1012"/>
      <c r="E47" s="1012"/>
      <c r="F47" s="1012"/>
      <c r="G47" s="1012"/>
      <c r="H47" s="1011"/>
      <c r="I47" s="959"/>
      <c r="J47" s="1010"/>
      <c r="K47" s="1009"/>
      <c r="L47" s="1009"/>
      <c r="M47" s="1009"/>
      <c r="N47" s="1009"/>
      <c r="O47" s="1009"/>
      <c r="P47" s="1008"/>
      <c r="Q47" s="952"/>
    </row>
    <row r="48" spans="1:17" ht="31.5" customHeight="1" thickBot="1">
      <c r="A48" s="956"/>
      <c r="B48" s="1007"/>
      <c r="C48" s="1006"/>
      <c r="D48" s="1006"/>
      <c r="E48" s="1006"/>
      <c r="F48" s="1006"/>
      <c r="G48" s="1006"/>
      <c r="H48" s="1005"/>
      <c r="I48" s="999"/>
      <c r="J48" s="1004"/>
      <c r="K48" s="1003"/>
      <c r="L48" s="1003"/>
      <c r="M48" s="1003"/>
      <c r="N48" s="1003"/>
      <c r="O48" s="1003"/>
      <c r="P48" s="1002"/>
      <c r="Q48" s="952"/>
    </row>
    <row r="49" spans="1:17" ht="30.75" customHeight="1" thickBot="1">
      <c r="A49" s="956"/>
      <c r="B49" s="2087" t="s">
        <v>566</v>
      </c>
      <c r="C49" s="2088"/>
      <c r="D49" s="2088"/>
      <c r="E49" s="2088"/>
      <c r="F49" s="2088"/>
      <c r="G49" s="2088"/>
      <c r="H49" s="2089"/>
      <c r="J49" s="979"/>
      <c r="P49" s="940"/>
      <c r="Q49" s="952"/>
    </row>
    <row r="50" spans="1:17" ht="19.5" customHeight="1">
      <c r="A50" s="956"/>
      <c r="B50" s="2100" t="s">
        <v>565</v>
      </c>
      <c r="C50" s="2101"/>
      <c r="D50" s="2101"/>
      <c r="E50" s="2101"/>
      <c r="F50" s="2101"/>
      <c r="G50" s="2101"/>
      <c r="H50" s="2102"/>
      <c r="J50" s="979"/>
      <c r="P50" s="940"/>
      <c r="Q50" s="952"/>
    </row>
    <row r="51" spans="1:17" ht="19.5" customHeight="1">
      <c r="A51" s="956"/>
      <c r="B51" s="2100" t="s">
        <v>564</v>
      </c>
      <c r="C51" s="2101"/>
      <c r="D51" s="2101"/>
      <c r="E51" s="2101"/>
      <c r="F51" s="2101"/>
      <c r="G51" s="2101"/>
      <c r="H51" s="2102"/>
      <c r="J51" s="979"/>
      <c r="P51" s="940"/>
      <c r="Q51" s="952"/>
    </row>
    <row r="52" spans="1:17" ht="20.25">
      <c r="A52" s="956"/>
      <c r="B52" s="2081" t="s">
        <v>563</v>
      </c>
      <c r="C52" s="2082"/>
      <c r="D52" s="1000"/>
      <c r="E52" s="1000"/>
      <c r="F52" s="2083">
        <v>-0.125</v>
      </c>
      <c r="G52" s="2083"/>
      <c r="H52" s="998"/>
      <c r="J52" s="979"/>
      <c r="P52" s="940"/>
      <c r="Q52" s="952"/>
    </row>
    <row r="53" spans="1:17" ht="20.25">
      <c r="A53" s="956"/>
      <c r="B53" s="2081" t="s">
        <v>562</v>
      </c>
      <c r="C53" s="2082"/>
      <c r="D53" s="1000"/>
      <c r="E53" s="1000"/>
      <c r="F53" s="2083">
        <v>-0.25</v>
      </c>
      <c r="G53" s="2083"/>
      <c r="H53" s="998"/>
      <c r="J53" s="979"/>
      <c r="P53" s="940"/>
      <c r="Q53" s="952"/>
    </row>
    <row r="54" spans="1:17" ht="20.25">
      <c r="A54" s="956"/>
      <c r="B54" s="2081" t="s">
        <v>561</v>
      </c>
      <c r="C54" s="2082"/>
      <c r="D54" s="1000"/>
      <c r="E54" s="1000"/>
      <c r="F54" s="2083">
        <v>-0.375</v>
      </c>
      <c r="G54" s="2083"/>
      <c r="H54" s="998"/>
      <c r="J54" s="979"/>
      <c r="P54" s="940"/>
      <c r="Q54" s="952"/>
    </row>
    <row r="55" spans="1:17" ht="20.25">
      <c r="A55" s="956"/>
      <c r="B55" s="2081" t="s">
        <v>560</v>
      </c>
      <c r="C55" s="2082"/>
      <c r="D55" s="959"/>
      <c r="E55" s="959"/>
      <c r="F55" s="2083">
        <v>-0.5</v>
      </c>
      <c r="G55" s="2083"/>
      <c r="H55" s="998"/>
      <c r="J55" s="979"/>
      <c r="P55" s="940"/>
      <c r="Q55" s="952"/>
    </row>
    <row r="56" spans="1:17" ht="20.25" customHeight="1" thickBot="1">
      <c r="A56" s="956"/>
      <c r="B56" s="2084" t="s">
        <v>31</v>
      </c>
      <c r="C56" s="2085"/>
      <c r="D56" s="2085"/>
      <c r="E56" s="2085"/>
      <c r="F56" s="2085"/>
      <c r="G56" s="2085"/>
      <c r="H56" s="2086"/>
      <c r="I56" s="959"/>
      <c r="J56" s="997"/>
      <c r="K56" s="996"/>
      <c r="L56" s="996"/>
      <c r="M56" s="996"/>
      <c r="N56" s="996"/>
      <c r="O56" s="996"/>
      <c r="P56" s="995"/>
      <c r="Q56" s="952"/>
    </row>
    <row r="57" spans="1:17" ht="20.25">
      <c r="A57" s="956"/>
      <c r="B57" s="979"/>
      <c r="D57" s="980"/>
      <c r="E57" s="980"/>
      <c r="F57" s="980"/>
      <c r="G57" s="999"/>
      <c r="H57" s="998"/>
      <c r="I57" s="959"/>
      <c r="J57" s="979"/>
      <c r="P57" s="940"/>
      <c r="Q57" s="952"/>
    </row>
    <row r="58" spans="1:17" ht="32.25" customHeight="1" thickBot="1">
      <c r="A58" s="956"/>
      <c r="B58" s="997"/>
      <c r="C58" s="996"/>
      <c r="D58" s="996"/>
      <c r="E58" s="996"/>
      <c r="F58" s="996"/>
      <c r="G58" s="996"/>
      <c r="H58" s="995"/>
      <c r="I58" s="959"/>
      <c r="J58" s="979"/>
      <c r="P58" s="940"/>
      <c r="Q58" s="952"/>
    </row>
    <row r="59" spans="1:17" ht="31.5" customHeight="1" thickBot="1">
      <c r="A59" s="956"/>
      <c r="B59" s="2087" t="s">
        <v>175</v>
      </c>
      <c r="C59" s="2088"/>
      <c r="D59" s="2088"/>
      <c r="E59" s="2088"/>
      <c r="F59" s="2088"/>
      <c r="G59" s="2088"/>
      <c r="H59" s="2088"/>
      <c r="I59" s="2088"/>
      <c r="J59" s="2088"/>
      <c r="K59" s="2088"/>
      <c r="L59" s="2088"/>
      <c r="M59" s="2088"/>
      <c r="N59" s="2088"/>
      <c r="O59" s="2088"/>
      <c r="P59" s="2089"/>
      <c r="Q59" s="952"/>
    </row>
    <row r="60" spans="1:17" ht="20.25" customHeight="1">
      <c r="A60" s="956"/>
      <c r="B60" s="2072" t="s">
        <v>176</v>
      </c>
      <c r="C60" s="2073"/>
      <c r="D60" s="2073"/>
      <c r="E60" s="2073"/>
      <c r="F60" s="2073"/>
      <c r="G60" s="2073"/>
      <c r="H60" s="2073"/>
      <c r="I60" s="2073"/>
      <c r="J60" s="2073"/>
      <c r="K60" s="2073"/>
      <c r="L60" s="2073"/>
      <c r="M60" s="2073"/>
      <c r="N60" s="2073"/>
      <c r="O60" s="2073"/>
      <c r="P60" s="2074"/>
      <c r="Q60" s="952"/>
    </row>
    <row r="61" spans="1:17" ht="20.25" customHeight="1">
      <c r="A61" s="956"/>
      <c r="B61" s="2081" t="s">
        <v>349</v>
      </c>
      <c r="C61" s="2082"/>
      <c r="D61" s="2082"/>
      <c r="E61" s="2082"/>
      <c r="F61" s="2082"/>
      <c r="G61" s="2082"/>
      <c r="H61" s="2082"/>
      <c r="I61" s="2082"/>
      <c r="J61" s="2082"/>
      <c r="K61" s="2082"/>
      <c r="L61" s="2082"/>
      <c r="M61" s="2082"/>
      <c r="N61" s="2082"/>
      <c r="O61" s="2082"/>
      <c r="P61" s="2090"/>
      <c r="Q61" s="952"/>
    </row>
    <row r="62" spans="1:17" ht="20.25" customHeight="1">
      <c r="A62" s="956"/>
      <c r="B62" s="991"/>
      <c r="C62" s="990"/>
      <c r="D62" s="990"/>
      <c r="E62" s="990"/>
      <c r="F62" s="990"/>
      <c r="G62" s="989"/>
      <c r="H62" s="989"/>
      <c r="I62" s="988"/>
      <c r="J62" s="993"/>
      <c r="K62" s="993"/>
      <c r="L62" s="993"/>
      <c r="M62" s="993"/>
      <c r="N62" s="993"/>
      <c r="O62" s="993"/>
      <c r="P62" s="992"/>
      <c r="Q62" s="952"/>
    </row>
    <row r="63" spans="1:17" ht="20.25" customHeight="1">
      <c r="A63" s="956"/>
      <c r="B63" s="991" t="s">
        <v>177</v>
      </c>
      <c r="C63" s="990"/>
      <c r="D63" s="990"/>
      <c r="E63" s="990"/>
      <c r="F63" s="990"/>
      <c r="G63" s="989"/>
      <c r="H63" s="989"/>
      <c r="I63" s="988"/>
      <c r="J63" s="987"/>
      <c r="K63" s="987"/>
      <c r="L63" s="987"/>
      <c r="M63" s="987"/>
      <c r="N63" s="987"/>
      <c r="O63" s="987"/>
      <c r="P63" s="986"/>
      <c r="Q63" s="952"/>
    </row>
    <row r="64" spans="1:17" ht="20.25" customHeight="1">
      <c r="A64" s="956"/>
      <c r="B64" s="979"/>
      <c r="G64" s="985"/>
      <c r="H64" s="985"/>
      <c r="I64" s="959"/>
      <c r="J64" s="983"/>
      <c r="K64" s="983"/>
      <c r="L64" s="983"/>
      <c r="M64" s="983"/>
      <c r="N64" s="983"/>
      <c r="O64" s="983"/>
      <c r="P64" s="982"/>
      <c r="Q64" s="952"/>
    </row>
    <row r="65" spans="1:17" ht="23.25" customHeight="1" thickBot="1">
      <c r="A65" s="956"/>
      <c r="B65" s="979"/>
      <c r="G65" s="984"/>
      <c r="H65" s="984"/>
      <c r="I65" s="959"/>
      <c r="J65" s="983"/>
      <c r="K65" s="983"/>
      <c r="L65" s="983"/>
      <c r="M65" s="983"/>
      <c r="N65" s="983"/>
      <c r="O65" s="983"/>
      <c r="P65" s="982"/>
      <c r="Q65" s="952"/>
    </row>
    <row r="66" spans="1:17">
      <c r="A66" s="956"/>
      <c r="B66" s="981"/>
      <c r="C66" s="980"/>
      <c r="D66" s="980"/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43"/>
      <c r="Q66" s="952"/>
    </row>
    <row r="67" spans="1:17" ht="19.5" customHeight="1">
      <c r="A67" s="956"/>
      <c r="B67" s="979"/>
      <c r="P67" s="940"/>
      <c r="Q67" s="952"/>
    </row>
    <row r="68" spans="1:17" ht="22.5" customHeight="1">
      <c r="A68" s="956"/>
      <c r="B68" s="979"/>
      <c r="P68" s="940"/>
      <c r="Q68" s="952"/>
    </row>
    <row r="69" spans="1:17">
      <c r="A69" s="956"/>
      <c r="B69" s="979"/>
      <c r="P69" s="940"/>
      <c r="Q69" s="952"/>
    </row>
    <row r="70" spans="1:17">
      <c r="A70" s="956"/>
      <c r="B70" s="979"/>
      <c r="P70" s="940"/>
      <c r="Q70" s="952"/>
    </row>
    <row r="71" spans="1:17">
      <c r="A71" s="956"/>
      <c r="B71" s="979"/>
      <c r="P71" s="940"/>
      <c r="Q71" s="952"/>
    </row>
    <row r="72" spans="1:17" ht="40.5" customHeight="1">
      <c r="A72" s="956"/>
      <c r="B72" s="978"/>
      <c r="C72" s="970"/>
      <c r="D72" s="970"/>
      <c r="E72" s="970"/>
      <c r="F72" s="970"/>
      <c r="G72" s="970"/>
      <c r="H72" s="970"/>
      <c r="I72" s="959"/>
      <c r="J72" s="974"/>
      <c r="K72" s="974"/>
      <c r="L72" s="974"/>
      <c r="M72" s="974"/>
      <c r="N72" s="974"/>
      <c r="O72" s="974"/>
      <c r="P72" s="973"/>
      <c r="Q72" s="952"/>
    </row>
    <row r="73" spans="1:17" ht="20.25">
      <c r="A73" s="956"/>
      <c r="B73" s="977"/>
      <c r="C73" s="976"/>
      <c r="D73" s="959"/>
      <c r="E73" s="959"/>
      <c r="F73" s="975"/>
      <c r="G73" s="959"/>
      <c r="H73" s="959"/>
      <c r="I73" s="959"/>
      <c r="J73" s="974"/>
      <c r="K73" s="974"/>
      <c r="L73" s="974"/>
      <c r="M73" s="974"/>
      <c r="N73" s="974"/>
      <c r="O73" s="974"/>
      <c r="P73" s="973"/>
      <c r="Q73" s="952"/>
    </row>
    <row r="74" spans="1:17" ht="20.25">
      <c r="A74" s="956"/>
      <c r="B74" s="972"/>
      <c r="C74" s="965"/>
      <c r="D74" s="971"/>
      <c r="E74" s="971"/>
      <c r="F74" s="971"/>
      <c r="G74" s="971"/>
      <c r="H74" s="971"/>
      <c r="I74" s="959"/>
      <c r="J74" s="970"/>
      <c r="K74" s="935"/>
      <c r="L74" s="935"/>
      <c r="M74" s="935"/>
      <c r="N74" s="935"/>
      <c r="O74" s="935"/>
      <c r="P74" s="969"/>
      <c r="Q74" s="952"/>
    </row>
    <row r="75" spans="1:17" ht="20.25">
      <c r="A75" s="956"/>
      <c r="B75" s="966"/>
      <c r="C75" s="959"/>
      <c r="D75" s="959"/>
      <c r="E75" s="959"/>
      <c r="F75" s="959"/>
      <c r="G75" s="959"/>
      <c r="H75" s="959"/>
      <c r="I75" s="959"/>
      <c r="J75" s="935"/>
      <c r="K75" s="935"/>
      <c r="L75" s="935"/>
      <c r="M75" s="935"/>
      <c r="N75" s="935"/>
      <c r="O75" s="935"/>
      <c r="P75" s="969"/>
      <c r="Q75" s="952"/>
    </row>
    <row r="76" spans="1:17" ht="20.25">
      <c r="A76" s="956"/>
      <c r="B76" s="966"/>
      <c r="D76" s="959"/>
      <c r="E76" s="959"/>
      <c r="F76" s="959"/>
      <c r="G76" s="959"/>
      <c r="H76" s="959"/>
      <c r="I76" s="959"/>
      <c r="P76" s="940"/>
      <c r="Q76" s="952"/>
    </row>
    <row r="77" spans="1:17" ht="20.25" customHeight="1">
      <c r="A77" s="956"/>
      <c r="B77" s="966"/>
      <c r="C77" s="959"/>
      <c r="D77" s="959"/>
      <c r="E77" s="959"/>
      <c r="F77" s="959"/>
      <c r="G77" s="959"/>
      <c r="H77" s="959"/>
      <c r="I77" s="959"/>
      <c r="J77" s="960"/>
      <c r="N77" s="958"/>
      <c r="O77" s="958"/>
      <c r="P77" s="957"/>
      <c r="Q77" s="952"/>
    </row>
    <row r="78" spans="1:17" ht="20.25">
      <c r="A78" s="956"/>
      <c r="B78" s="968"/>
      <c r="C78" s="967"/>
      <c r="D78" s="967"/>
      <c r="E78" s="967"/>
      <c r="F78" s="967"/>
      <c r="G78" s="967"/>
      <c r="H78" s="967"/>
      <c r="I78" s="959"/>
      <c r="J78" s="960"/>
      <c r="K78" s="959"/>
      <c r="L78" s="959"/>
      <c r="M78" s="959"/>
      <c r="N78" s="958"/>
      <c r="O78" s="958"/>
      <c r="P78" s="957"/>
      <c r="Q78" s="952"/>
    </row>
    <row r="79" spans="1:17" ht="20.25" customHeight="1">
      <c r="A79" s="956"/>
      <c r="B79" s="968"/>
      <c r="C79" s="967"/>
      <c r="D79" s="967"/>
      <c r="E79" s="967"/>
      <c r="F79" s="967"/>
      <c r="G79" s="967"/>
      <c r="H79" s="967"/>
      <c r="I79" s="959"/>
      <c r="J79" s="960"/>
      <c r="K79" s="965"/>
      <c r="L79" s="965"/>
      <c r="M79" s="959"/>
      <c r="N79" s="958"/>
      <c r="O79" s="958"/>
      <c r="P79" s="957"/>
      <c r="Q79" s="952"/>
    </row>
    <row r="80" spans="1:17" ht="20.25">
      <c r="A80" s="956"/>
      <c r="B80" s="966"/>
      <c r="C80" s="959"/>
      <c r="D80" s="959"/>
      <c r="E80" s="959"/>
      <c r="F80" s="959"/>
      <c r="G80" s="959"/>
      <c r="H80" s="959"/>
      <c r="I80" s="959"/>
      <c r="J80" s="960"/>
      <c r="K80" s="965"/>
      <c r="L80" s="965"/>
      <c r="M80" s="959"/>
      <c r="N80" s="958"/>
      <c r="O80" s="958"/>
      <c r="P80" s="957"/>
      <c r="Q80" s="952"/>
    </row>
    <row r="81" spans="1:17" ht="20.25">
      <c r="A81" s="956"/>
      <c r="B81" s="963"/>
      <c r="C81" s="962"/>
      <c r="D81" s="962"/>
      <c r="E81" s="959"/>
      <c r="F81" s="959"/>
      <c r="G81" s="964"/>
      <c r="H81" s="959"/>
      <c r="I81" s="959"/>
      <c r="J81" s="960"/>
      <c r="K81" s="965"/>
      <c r="L81" s="965"/>
      <c r="M81" s="959"/>
      <c r="N81" s="958"/>
      <c r="O81" s="958"/>
      <c r="P81" s="957"/>
      <c r="Q81" s="952"/>
    </row>
    <row r="82" spans="1:17" ht="20.25">
      <c r="A82" s="956"/>
      <c r="B82" s="963"/>
      <c r="C82" s="962"/>
      <c r="D82" s="962"/>
      <c r="E82" s="959"/>
      <c r="F82" s="959"/>
      <c r="G82" s="964"/>
      <c r="H82" s="959"/>
      <c r="I82" s="959"/>
      <c r="J82" s="960"/>
      <c r="K82" s="959"/>
      <c r="L82" s="959"/>
      <c r="M82" s="959"/>
      <c r="N82" s="958"/>
      <c r="O82" s="958"/>
      <c r="P82" s="957"/>
      <c r="Q82" s="952"/>
    </row>
    <row r="83" spans="1:17" ht="20.25">
      <c r="A83" s="956"/>
      <c r="B83" s="963"/>
      <c r="C83" s="962"/>
      <c r="D83" s="962"/>
      <c r="E83" s="959"/>
      <c r="F83" s="959"/>
      <c r="G83" s="961"/>
      <c r="H83" s="959"/>
      <c r="I83" s="959"/>
      <c r="J83" s="960"/>
      <c r="K83" s="959"/>
      <c r="L83" s="959"/>
      <c r="M83" s="959"/>
      <c r="N83" s="958"/>
      <c r="O83" s="958"/>
      <c r="P83" s="957"/>
      <c r="Q83" s="952"/>
    </row>
    <row r="84" spans="1:17" ht="20.25" customHeight="1" thickBot="1">
      <c r="A84" s="956"/>
      <c r="B84" s="955"/>
      <c r="C84" s="954"/>
      <c r="D84" s="954"/>
      <c r="E84" s="947"/>
      <c r="F84" s="947"/>
      <c r="G84" s="947"/>
      <c r="H84" s="947"/>
      <c r="I84" s="947"/>
      <c r="J84" s="947"/>
      <c r="K84" s="947"/>
      <c r="L84" s="947"/>
      <c r="M84" s="947"/>
      <c r="N84" s="947"/>
      <c r="O84" s="947"/>
      <c r="P84" s="953"/>
      <c r="Q84" s="952"/>
    </row>
    <row r="85" spans="1:17" s="936" customFormat="1" ht="15.75" thickBot="1">
      <c r="A85" s="942"/>
      <c r="B85" s="942"/>
      <c r="C85" s="937"/>
      <c r="D85" s="937"/>
      <c r="E85" s="937"/>
      <c r="F85" s="937"/>
      <c r="G85" s="937"/>
      <c r="H85" s="937"/>
      <c r="I85" s="937"/>
      <c r="J85" s="937"/>
      <c r="K85" s="937"/>
      <c r="L85" s="937"/>
      <c r="M85" s="937"/>
      <c r="N85" s="937"/>
      <c r="O85" s="937"/>
      <c r="P85" s="949"/>
      <c r="Q85" s="949"/>
    </row>
    <row r="86" spans="1:17" s="936" customFormat="1">
      <c r="A86" s="942"/>
      <c r="B86" s="1748" t="s">
        <v>559</v>
      </c>
      <c r="C86" s="1749"/>
      <c r="D86" s="1749"/>
      <c r="E86" s="1749"/>
      <c r="F86" s="1749"/>
      <c r="G86" s="1749"/>
      <c r="H86" s="1749"/>
      <c r="I86" s="1749"/>
      <c r="J86" s="1749"/>
      <c r="K86" s="1749"/>
      <c r="L86" s="1749"/>
      <c r="M86" s="1749"/>
      <c r="N86" s="1749"/>
      <c r="O86" s="1749"/>
      <c r="P86" s="1750"/>
      <c r="Q86" s="949"/>
    </row>
    <row r="87" spans="1:17" s="936" customFormat="1" ht="15.75" thickBot="1">
      <c r="A87" s="942"/>
      <c r="B87" s="1751"/>
      <c r="C87" s="1752"/>
      <c r="D87" s="1752"/>
      <c r="E87" s="1752"/>
      <c r="F87" s="1752"/>
      <c r="G87" s="1752"/>
      <c r="H87" s="1752"/>
      <c r="I87" s="1752"/>
      <c r="J87" s="1752"/>
      <c r="K87" s="1752"/>
      <c r="L87" s="1752"/>
      <c r="M87" s="1752"/>
      <c r="N87" s="1752"/>
      <c r="O87" s="1752"/>
      <c r="P87" s="1753"/>
      <c r="Q87" s="949"/>
    </row>
    <row r="88" spans="1:17" s="936" customFormat="1" ht="21" customHeight="1">
      <c r="A88" s="942"/>
      <c r="B88" s="2072" t="s">
        <v>179</v>
      </c>
      <c r="C88" s="2073"/>
      <c r="D88" s="2073"/>
      <c r="E88" s="2073"/>
      <c r="F88" s="2073"/>
      <c r="G88" s="2073"/>
      <c r="H88" s="2073"/>
      <c r="I88" s="2073"/>
      <c r="J88" s="2073"/>
      <c r="K88" s="2073"/>
      <c r="L88" s="2073"/>
      <c r="M88" s="2073"/>
      <c r="N88" s="2073"/>
      <c r="O88" s="2073"/>
      <c r="P88" s="2074"/>
      <c r="Q88" s="949"/>
    </row>
    <row r="89" spans="1:17" s="936" customFormat="1" ht="21" customHeight="1" thickBot="1">
      <c r="A89" s="942"/>
      <c r="B89" s="2075" t="s">
        <v>180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49"/>
    </row>
    <row r="90" spans="1:17" s="936" customFormat="1">
      <c r="A90" s="942"/>
      <c r="B90" s="942"/>
      <c r="C90" s="937"/>
      <c r="D90" s="937"/>
      <c r="E90" s="937"/>
      <c r="F90" s="937"/>
      <c r="G90" s="937"/>
      <c r="H90" s="937"/>
      <c r="I90" s="937"/>
      <c r="J90" s="937"/>
      <c r="K90" s="937"/>
      <c r="L90" s="937"/>
      <c r="M90" s="937"/>
      <c r="N90" s="937"/>
      <c r="O90" s="937"/>
      <c r="P90" s="949"/>
      <c r="Q90" s="949"/>
    </row>
    <row r="91" spans="1:17" s="936" customFormat="1">
      <c r="A91" s="942"/>
      <c r="B91" s="942"/>
      <c r="C91" s="937"/>
      <c r="D91" s="937"/>
      <c r="E91" s="937"/>
      <c r="F91" s="937"/>
      <c r="G91" s="937"/>
      <c r="H91" s="937"/>
      <c r="I91" s="937"/>
      <c r="J91" s="937"/>
      <c r="K91" s="937"/>
      <c r="L91" s="937"/>
      <c r="M91" s="937"/>
      <c r="N91" s="937"/>
      <c r="O91" s="937"/>
      <c r="P91" s="949"/>
      <c r="Q91" s="949"/>
    </row>
    <row r="92" spans="1:17" s="936" customFormat="1">
      <c r="A92" s="942"/>
      <c r="B92" s="942"/>
      <c r="C92" s="937"/>
      <c r="D92" s="937"/>
      <c r="E92" s="937"/>
      <c r="F92" s="937"/>
      <c r="G92" s="937"/>
      <c r="H92" s="937"/>
      <c r="I92" s="937"/>
      <c r="J92" s="937"/>
      <c r="K92" s="937"/>
      <c r="L92" s="937"/>
      <c r="M92" s="937"/>
      <c r="N92" s="937"/>
      <c r="O92" s="937"/>
      <c r="P92" s="949"/>
      <c r="Q92" s="949"/>
    </row>
    <row r="93" spans="1:17" s="936" customFormat="1">
      <c r="A93" s="942"/>
      <c r="B93" s="942"/>
      <c r="C93" s="937"/>
      <c r="D93" s="937"/>
      <c r="E93" s="937"/>
      <c r="F93" s="937"/>
      <c r="G93" s="937"/>
      <c r="H93" s="937"/>
      <c r="I93" s="937"/>
      <c r="J93" s="937"/>
      <c r="K93" s="937"/>
      <c r="L93" s="937"/>
      <c r="M93" s="937"/>
      <c r="N93" s="937"/>
      <c r="O93" s="937"/>
      <c r="P93" s="949"/>
      <c r="Q93" s="949"/>
    </row>
    <row r="94" spans="1:17" s="936" customFormat="1">
      <c r="A94" s="942"/>
      <c r="B94" s="942"/>
      <c r="C94" s="937"/>
      <c r="D94" s="937"/>
      <c r="E94" s="937"/>
      <c r="F94" s="937"/>
      <c r="G94" s="937"/>
      <c r="H94" s="937"/>
      <c r="I94" s="937"/>
      <c r="J94" s="937"/>
      <c r="K94" s="937"/>
      <c r="L94" s="937"/>
      <c r="M94" s="937"/>
      <c r="N94" s="937"/>
      <c r="O94" s="937"/>
      <c r="P94" s="949"/>
      <c r="Q94" s="949"/>
    </row>
    <row r="95" spans="1:17" s="936" customFormat="1">
      <c r="A95" s="942"/>
      <c r="B95" s="942"/>
      <c r="C95" s="937"/>
      <c r="D95" s="937"/>
      <c r="E95" s="937"/>
      <c r="F95" s="937"/>
      <c r="G95" s="937"/>
      <c r="H95" s="937"/>
      <c r="I95" s="937"/>
      <c r="J95" s="937"/>
      <c r="K95" s="937"/>
      <c r="L95" s="937"/>
      <c r="M95" s="937"/>
      <c r="N95" s="937"/>
      <c r="O95" s="937"/>
      <c r="P95" s="949"/>
      <c r="Q95" s="949"/>
    </row>
    <row r="96" spans="1:17" s="936" customFormat="1">
      <c r="A96" s="942"/>
      <c r="B96" s="942"/>
      <c r="C96" s="937"/>
      <c r="D96" s="937"/>
      <c r="E96" s="937"/>
      <c r="F96" s="937"/>
      <c r="G96" s="937"/>
      <c r="H96" s="937"/>
      <c r="I96" s="937"/>
      <c r="J96" s="937"/>
      <c r="K96" s="937"/>
      <c r="L96" s="937"/>
      <c r="M96" s="937"/>
      <c r="N96" s="937"/>
      <c r="O96" s="937"/>
      <c r="P96" s="949"/>
      <c r="Q96" s="949"/>
    </row>
    <row r="97" spans="1:17" s="936" customFormat="1" ht="15.75" thickBot="1">
      <c r="A97" s="942"/>
      <c r="B97" s="939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0"/>
      <c r="Q97" s="949"/>
    </row>
    <row r="98" spans="1:17" ht="21" thickBot="1">
      <c r="A98" s="948"/>
      <c r="B98" s="947"/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6"/>
    </row>
    <row r="99" spans="1:17" ht="15" customHeight="1">
      <c r="A99" s="945"/>
      <c r="B99" s="2078" t="s">
        <v>181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43"/>
    </row>
    <row r="100" spans="1:17">
      <c r="A100" s="942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40"/>
    </row>
    <row r="101" spans="1:17">
      <c r="A101" s="942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40"/>
    </row>
    <row r="102" spans="1:17" ht="15.75" thickBot="1">
      <c r="A102" s="939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38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37" customWidth="1"/>
    <col min="2" max="2" width="17.7109375" style="936" customWidth="1"/>
    <col min="3" max="4" width="13.7109375" style="936" customWidth="1"/>
    <col min="5" max="5" width="1.5703125" style="936" customWidth="1"/>
    <col min="6" max="6" width="13.85546875" style="936" customWidth="1"/>
    <col min="7" max="8" width="13.7109375" style="936" customWidth="1"/>
    <col min="9" max="9" width="1.5703125" style="936" customWidth="1"/>
    <col min="10" max="11" width="13.7109375" style="936" customWidth="1"/>
    <col min="12" max="12" width="16.5703125" style="936" customWidth="1"/>
    <col min="13" max="13" width="1.42578125" style="936" customWidth="1"/>
    <col min="14" max="16" width="13.7109375" style="936" customWidth="1"/>
    <col min="17" max="17" width="2" style="936" customWidth="1"/>
    <col min="18" max="16384" width="9.140625" style="935"/>
  </cols>
  <sheetData>
    <row r="1" spans="1:17">
      <c r="A1" s="1078" t="s">
        <v>582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6"/>
    </row>
    <row r="2" spans="1:17">
      <c r="A2" s="1060"/>
      <c r="B2" s="1061"/>
      <c r="C2" s="1058"/>
      <c r="D2" s="1074"/>
      <c r="E2" s="1074"/>
      <c r="F2" s="1058"/>
      <c r="G2" s="1058"/>
      <c r="H2" s="1058"/>
      <c r="I2" s="1058"/>
      <c r="J2" s="1058"/>
      <c r="K2" s="1058"/>
      <c r="L2" s="2107" t="s">
        <v>329</v>
      </c>
      <c r="M2" s="2107"/>
      <c r="N2" s="2107"/>
      <c r="O2" s="2108">
        <f ca="1">NOW()</f>
        <v>46223.360261689813</v>
      </c>
      <c r="P2" s="2108"/>
      <c r="Q2" s="1075"/>
    </row>
    <row r="3" spans="1:17">
      <c r="A3" s="1060"/>
      <c r="B3" s="1061"/>
      <c r="C3" s="1074"/>
      <c r="D3" s="1073"/>
      <c r="E3" s="1063"/>
      <c r="F3" s="1058"/>
      <c r="G3" s="1058"/>
      <c r="H3" s="1058"/>
      <c r="I3" s="1058"/>
      <c r="J3" s="1058"/>
      <c r="K3" s="1058"/>
      <c r="L3" s="1059"/>
      <c r="M3" s="1061"/>
      <c r="N3" s="2108"/>
      <c r="O3" s="2108"/>
      <c r="P3" s="1072" t="s">
        <v>581</v>
      </c>
      <c r="Q3" s="1068"/>
    </row>
    <row r="4" spans="1:17">
      <c r="A4" s="1060"/>
      <c r="B4" s="1061"/>
      <c r="C4" s="1061"/>
      <c r="D4" s="1066"/>
      <c r="E4" s="1063"/>
      <c r="F4" s="1058"/>
      <c r="G4" s="1058"/>
      <c r="H4" s="1058"/>
      <c r="I4" s="1058"/>
      <c r="J4" s="1058"/>
      <c r="K4" s="1058"/>
      <c r="L4" s="1058"/>
      <c r="M4" s="1061"/>
      <c r="N4" s="1061"/>
      <c r="O4" s="2107"/>
      <c r="P4" s="2107"/>
      <c r="Q4" s="1068"/>
    </row>
    <row r="5" spans="1:17" ht="15.75">
      <c r="A5" s="1060"/>
      <c r="B5" s="1071"/>
      <c r="C5" s="1070"/>
      <c r="D5" s="1069"/>
      <c r="E5" s="1063"/>
      <c r="F5" s="1058"/>
      <c r="G5" s="1058"/>
      <c r="H5" s="1058"/>
      <c r="I5" s="1058"/>
      <c r="J5" s="1058"/>
      <c r="K5" s="1058"/>
      <c r="L5" s="1058"/>
      <c r="M5" s="1059"/>
      <c r="N5" s="1059"/>
      <c r="O5" s="2109"/>
      <c r="P5" s="2109"/>
      <c r="Q5" s="1068"/>
    </row>
    <row r="6" spans="1:17">
      <c r="A6" s="1067"/>
      <c r="B6" s="1066"/>
      <c r="C6" s="1066"/>
      <c r="D6" s="1058"/>
      <c r="E6" s="1063"/>
      <c r="F6" s="1058"/>
      <c r="G6" s="1058"/>
      <c r="H6" s="1058"/>
      <c r="I6" s="1058"/>
      <c r="J6" s="1058"/>
      <c r="K6" s="1058"/>
      <c r="L6" s="1058"/>
      <c r="M6" s="1059"/>
      <c r="N6" s="2131"/>
      <c r="O6" s="2132"/>
      <c r="P6" s="2132"/>
      <c r="Q6" s="1065"/>
    </row>
    <row r="7" spans="1:17">
      <c r="A7" s="1060"/>
      <c r="B7" s="1064"/>
      <c r="C7" s="1059"/>
      <c r="D7" s="1064"/>
      <c r="E7" s="1063"/>
      <c r="F7" s="1058"/>
      <c r="G7" s="1058"/>
      <c r="H7" s="1058"/>
      <c r="I7" s="1058"/>
      <c r="J7" s="1058"/>
      <c r="K7" s="1058"/>
      <c r="L7" s="1058"/>
      <c r="M7" s="1058"/>
      <c r="N7" s="2133"/>
      <c r="O7" s="2133"/>
      <c r="P7" s="2133"/>
      <c r="Q7" s="1056"/>
    </row>
    <row r="8" spans="1:17">
      <c r="A8" s="1060"/>
      <c r="B8" s="1064"/>
      <c r="C8" s="1059"/>
      <c r="D8" s="1064"/>
      <c r="E8" s="1063"/>
      <c r="F8" s="1058"/>
      <c r="G8" s="1058"/>
      <c r="H8" s="1058"/>
      <c r="I8" s="1058"/>
      <c r="J8" s="1058"/>
      <c r="K8" s="1058"/>
      <c r="L8" s="1059"/>
      <c r="M8" s="1059"/>
      <c r="N8" s="2133"/>
      <c r="O8" s="2133"/>
      <c r="P8" s="2133"/>
      <c r="Q8" s="1056"/>
    </row>
    <row r="9" spans="1:17">
      <c r="A9" s="1060"/>
      <c r="B9" s="1064"/>
      <c r="C9" s="1059"/>
      <c r="D9" s="1064"/>
      <c r="E9" s="1063"/>
      <c r="F9" s="1058"/>
      <c r="G9" s="1058"/>
      <c r="H9" s="1058"/>
      <c r="I9" s="1058"/>
      <c r="J9" s="1058"/>
      <c r="K9" s="1058"/>
      <c r="L9" s="1059"/>
      <c r="M9" s="1059"/>
      <c r="N9" s="1062"/>
      <c r="O9" s="1061"/>
      <c r="P9" s="1057"/>
      <c r="Q9" s="1056"/>
    </row>
    <row r="10" spans="1:17">
      <c r="A10" s="1060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3"/>
      <c r="N10" s="1058"/>
      <c r="O10" s="1058"/>
      <c r="P10" s="1057"/>
      <c r="Q10" s="1056"/>
    </row>
    <row r="11" spans="1:17">
      <c r="A11" s="1055"/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3"/>
      <c r="Q11" s="1052"/>
    </row>
    <row r="12" spans="1:17" ht="15" customHeight="1">
      <c r="A12" s="2111" t="s">
        <v>619</v>
      </c>
      <c r="B12" s="2112"/>
      <c r="C12" s="2112"/>
      <c r="D12" s="2112"/>
      <c r="E12" s="2112"/>
      <c r="F12" s="2112"/>
      <c r="G12" s="2112"/>
      <c r="H12" s="2112"/>
      <c r="I12" s="2112"/>
      <c r="J12" s="2112"/>
      <c r="K12" s="2112"/>
      <c r="L12" s="2112"/>
      <c r="M12" s="2112"/>
      <c r="N12" s="2112"/>
      <c r="O12" s="2112"/>
      <c r="P12" s="2112"/>
      <c r="Q12" s="2113"/>
    </row>
    <row r="13" spans="1:17" ht="15.75" customHeight="1" thickBot="1">
      <c r="A13" s="2134"/>
      <c r="B13" s="2135"/>
      <c r="C13" s="2135"/>
      <c r="D13" s="2135"/>
      <c r="E13" s="2135"/>
      <c r="F13" s="2135"/>
      <c r="G13" s="2135"/>
      <c r="H13" s="2135"/>
      <c r="I13" s="2135"/>
      <c r="J13" s="2135"/>
      <c r="K13" s="2135"/>
      <c r="L13" s="2135"/>
      <c r="M13" s="2135"/>
      <c r="N13" s="2135"/>
      <c r="O13" s="2135"/>
      <c r="P13" s="2135"/>
      <c r="Q13" s="2136"/>
    </row>
    <row r="14" spans="1:17">
      <c r="A14" s="956"/>
      <c r="B14" s="1051"/>
      <c r="C14" s="1051"/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952"/>
    </row>
    <row r="15" spans="1:17" ht="15" customHeight="1">
      <c r="A15" s="956"/>
      <c r="B15" s="1050" t="s">
        <v>580</v>
      </c>
      <c r="C15" s="1049"/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8"/>
      <c r="Q15" s="952"/>
    </row>
    <row r="16" spans="1:17" ht="15" customHeight="1">
      <c r="A16" s="956"/>
      <c r="B16" s="1038"/>
      <c r="C16" s="1033"/>
      <c r="D16" s="1033"/>
      <c r="E16" s="1033"/>
      <c r="F16" s="1033"/>
      <c r="G16" s="1033"/>
      <c r="H16" s="1033"/>
      <c r="I16" s="1033"/>
      <c r="J16" s="2110"/>
      <c r="K16" s="2110"/>
      <c r="L16" s="1033"/>
      <c r="M16" s="1033"/>
      <c r="N16" s="1033"/>
      <c r="O16" s="1033"/>
      <c r="P16" s="1037"/>
      <c r="Q16" s="952"/>
    </row>
    <row r="17" spans="1:17" ht="15" customHeight="1">
      <c r="A17" s="956"/>
      <c r="B17" s="1038"/>
      <c r="C17" s="1033"/>
      <c r="D17" s="1033"/>
      <c r="E17" s="1033"/>
      <c r="F17" s="1033"/>
      <c r="G17" s="1033"/>
      <c r="H17" s="1033"/>
      <c r="I17" s="1033"/>
      <c r="J17" s="988"/>
      <c r="K17" s="1043"/>
      <c r="L17" s="1042"/>
      <c r="M17" s="1033"/>
      <c r="N17" s="1041"/>
      <c r="O17" s="1040"/>
      <c r="P17" s="1039"/>
      <c r="Q17" s="952"/>
    </row>
    <row r="18" spans="1:17" ht="15" customHeight="1">
      <c r="A18" s="956"/>
      <c r="B18" s="1038"/>
      <c r="C18" s="1033"/>
      <c r="D18" s="1033"/>
      <c r="E18" s="1033"/>
      <c r="F18" s="1033"/>
      <c r="G18" s="1033"/>
      <c r="H18" s="1033"/>
      <c r="I18" s="1033"/>
      <c r="J18" s="2110"/>
      <c r="K18" s="2110"/>
      <c r="L18" s="1047"/>
      <c r="M18" s="1045"/>
      <c r="N18" s="1040"/>
      <c r="O18" s="1045"/>
      <c r="P18" s="1044"/>
      <c r="Q18" s="952"/>
    </row>
    <row r="19" spans="1:17" ht="15" customHeight="1">
      <c r="A19" s="956"/>
      <c r="B19" s="1038"/>
      <c r="C19" s="1033"/>
      <c r="D19" s="1033"/>
      <c r="E19" s="1033"/>
      <c r="F19" s="1033"/>
      <c r="G19" s="1033"/>
      <c r="H19" s="1033"/>
      <c r="I19" s="1033"/>
      <c r="J19" s="988"/>
      <c r="K19" s="1043"/>
      <c r="L19" s="1042"/>
      <c r="M19" s="1033"/>
      <c r="N19" s="1041"/>
      <c r="O19" s="1040"/>
      <c r="P19" s="1039"/>
      <c r="Q19" s="952"/>
    </row>
    <row r="20" spans="1:17" ht="15" customHeight="1">
      <c r="A20" s="956"/>
      <c r="B20" s="1038"/>
      <c r="C20" s="1033"/>
      <c r="D20" s="1033"/>
      <c r="E20" s="1033"/>
      <c r="F20" s="1033"/>
      <c r="G20" s="1033"/>
      <c r="H20" s="1033"/>
      <c r="I20" s="1033"/>
      <c r="J20" s="2110"/>
      <c r="K20" s="2110"/>
      <c r="L20" s="1042"/>
      <c r="M20" s="1045"/>
      <c r="N20" s="1042"/>
      <c r="O20" s="1045"/>
      <c r="P20" s="1044"/>
      <c r="Q20" s="952"/>
    </row>
    <row r="21" spans="1:17" ht="15" customHeight="1">
      <c r="A21" s="956"/>
      <c r="B21" s="1038"/>
      <c r="C21" s="1033"/>
      <c r="D21" s="1033"/>
      <c r="E21" s="1033"/>
      <c r="F21" s="1033"/>
      <c r="G21" s="1033"/>
      <c r="H21" s="1033"/>
      <c r="I21" s="1033"/>
      <c r="J21" s="988"/>
      <c r="K21" s="1043"/>
      <c r="L21" s="1042"/>
      <c r="M21" s="1033"/>
      <c r="N21" s="1041"/>
      <c r="O21" s="1040"/>
      <c r="P21" s="1039"/>
      <c r="Q21" s="952"/>
    </row>
    <row r="22" spans="1:17" ht="14.25" customHeight="1">
      <c r="A22" s="956"/>
      <c r="B22" s="1038"/>
      <c r="C22" s="1033"/>
      <c r="D22" s="1033"/>
      <c r="E22" s="1033"/>
      <c r="F22" s="1033"/>
      <c r="G22" s="1033"/>
      <c r="H22" s="1033"/>
      <c r="I22" s="1033"/>
      <c r="J22" s="2110"/>
      <c r="K22" s="2110"/>
      <c r="L22" s="1045"/>
      <c r="M22" s="1045"/>
      <c r="N22" s="1046"/>
      <c r="O22" s="1045"/>
      <c r="P22" s="1044"/>
      <c r="Q22" s="952"/>
    </row>
    <row r="23" spans="1:17" ht="15" customHeight="1">
      <c r="A23" s="956"/>
      <c r="B23" s="1038"/>
      <c r="C23" s="1033"/>
      <c r="D23" s="1033"/>
      <c r="E23" s="1033"/>
      <c r="F23" s="1033"/>
      <c r="G23" s="1033"/>
      <c r="H23" s="1033"/>
      <c r="I23" s="1033"/>
      <c r="J23" s="988"/>
      <c r="K23" s="1043"/>
      <c r="L23" s="1042"/>
      <c r="M23" s="1033"/>
      <c r="N23" s="1041"/>
      <c r="O23" s="1040"/>
      <c r="P23" s="1039"/>
      <c r="Q23" s="952"/>
    </row>
    <row r="24" spans="1:17" ht="15" customHeight="1">
      <c r="A24" s="956"/>
      <c r="B24" s="1038"/>
      <c r="C24" s="1033"/>
      <c r="D24" s="1033"/>
      <c r="E24" s="1033"/>
      <c r="F24" s="1033"/>
      <c r="G24" s="1033"/>
      <c r="H24" s="1033"/>
      <c r="I24" s="1033"/>
      <c r="J24" s="1033"/>
      <c r="K24" s="1033"/>
      <c r="L24" s="1033" t="s">
        <v>579</v>
      </c>
      <c r="M24" s="1033"/>
      <c r="N24" s="1033"/>
      <c r="O24" s="1033"/>
      <c r="P24" s="1037"/>
      <c r="Q24" s="952"/>
    </row>
    <row r="25" spans="1:17" ht="15" customHeight="1">
      <c r="A25" s="956"/>
      <c r="B25" s="1038"/>
      <c r="C25" s="1033"/>
      <c r="D25" s="1033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7"/>
      <c r="Q25" s="952"/>
    </row>
    <row r="26" spans="1:17" ht="15" customHeight="1">
      <c r="A26" s="956"/>
      <c r="B26" s="1038"/>
      <c r="C26" s="1033"/>
      <c r="D26" s="1033"/>
      <c r="E26" s="1033"/>
      <c r="F26" s="1033"/>
      <c r="G26" s="1033"/>
      <c r="H26" s="1033"/>
      <c r="I26" s="1033"/>
      <c r="J26" s="1033"/>
      <c r="K26" s="1033"/>
      <c r="L26" s="1033"/>
      <c r="M26" s="1033"/>
      <c r="N26" s="1033"/>
      <c r="O26" s="1033"/>
      <c r="P26" s="1037"/>
      <c r="Q26" s="952"/>
    </row>
    <row r="27" spans="1:17" ht="15" customHeight="1">
      <c r="A27" s="956"/>
      <c r="B27" s="1036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4"/>
      <c r="Q27" s="952"/>
    </row>
    <row r="28" spans="1:17" ht="11.25" customHeight="1" thickBot="1">
      <c r="A28" s="956"/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952"/>
    </row>
    <row r="29" spans="1:17" ht="31.5" customHeight="1" thickBot="1">
      <c r="A29" s="956"/>
      <c r="B29" s="2128" t="s">
        <v>578</v>
      </c>
      <c r="C29" s="2129"/>
      <c r="D29" s="2129"/>
      <c r="E29" s="2129"/>
      <c r="F29" s="2129"/>
      <c r="G29" s="2129"/>
      <c r="H29" s="2130"/>
      <c r="I29" s="959"/>
      <c r="J29" s="1748" t="s">
        <v>577</v>
      </c>
      <c r="K29" s="1749"/>
      <c r="L29" s="1749"/>
      <c r="M29" s="1749"/>
      <c r="N29" s="1749"/>
      <c r="O29" s="1749"/>
      <c r="P29" s="1750"/>
      <c r="Q29" s="952"/>
    </row>
    <row r="30" spans="1:17" ht="29.25" customHeight="1">
      <c r="A30" s="956"/>
      <c r="B30" s="966"/>
      <c r="C30" s="959"/>
      <c r="D30" s="959"/>
      <c r="E30" s="959"/>
      <c r="F30" s="959"/>
      <c r="G30" s="959"/>
      <c r="H30" s="998"/>
      <c r="I30" s="959"/>
      <c r="J30" s="2119" t="s">
        <v>255</v>
      </c>
      <c r="K30" s="2120"/>
      <c r="L30" s="2120"/>
      <c r="M30" s="2120"/>
      <c r="N30" s="2120"/>
      <c r="O30" s="2120"/>
      <c r="P30" s="2121"/>
      <c r="Q30" s="952"/>
    </row>
    <row r="31" spans="1:17" ht="20.25" customHeight="1">
      <c r="A31" s="956"/>
      <c r="B31" s="1031" t="s">
        <v>320</v>
      </c>
      <c r="C31" s="965"/>
      <c r="D31" s="965"/>
      <c r="E31" s="1012"/>
      <c r="F31" s="1012"/>
      <c r="G31" s="2082" t="s">
        <v>171</v>
      </c>
      <c r="H31" s="2090"/>
      <c r="I31" s="959"/>
      <c r="J31" s="2122"/>
      <c r="K31" s="2123"/>
      <c r="L31" s="2123"/>
      <c r="M31" s="2123"/>
      <c r="N31" s="2123"/>
      <c r="O31" s="2123"/>
      <c r="P31" s="2124"/>
      <c r="Q31" s="952"/>
    </row>
    <row r="32" spans="1:17" ht="19.5" customHeight="1">
      <c r="A32" s="956"/>
      <c r="B32" s="1031" t="s">
        <v>333</v>
      </c>
      <c r="C32" s="1032"/>
      <c r="D32" s="965"/>
      <c r="E32" s="965"/>
      <c r="F32" s="965"/>
      <c r="G32" s="2082" t="s">
        <v>172</v>
      </c>
      <c r="H32" s="2090"/>
      <c r="I32" s="959"/>
      <c r="J32" s="2122"/>
      <c r="K32" s="2123"/>
      <c r="L32" s="2123"/>
      <c r="M32" s="2123"/>
      <c r="N32" s="2123"/>
      <c r="O32" s="2123"/>
      <c r="P32" s="2124"/>
      <c r="Q32" s="952"/>
    </row>
    <row r="33" spans="1:17" ht="20.25" customHeight="1">
      <c r="A33" s="956"/>
      <c r="B33" s="979"/>
      <c r="G33" s="2082"/>
      <c r="H33" s="2090"/>
      <c r="I33" s="959"/>
      <c r="J33" s="2122"/>
      <c r="K33" s="2123"/>
      <c r="L33" s="2123"/>
      <c r="M33" s="2123"/>
      <c r="N33" s="2123"/>
      <c r="O33" s="2123"/>
      <c r="P33" s="2124"/>
      <c r="Q33" s="952"/>
    </row>
    <row r="34" spans="1:17" ht="20.25" customHeight="1">
      <c r="A34" s="956"/>
      <c r="B34" s="1031"/>
      <c r="C34" s="984"/>
      <c r="D34" s="965"/>
      <c r="E34" s="965"/>
      <c r="F34" s="965"/>
      <c r="G34" s="2082"/>
      <c r="H34" s="2090"/>
      <c r="I34" s="959"/>
      <c r="J34" s="2122"/>
      <c r="K34" s="2123"/>
      <c r="L34" s="2123"/>
      <c r="M34" s="2123"/>
      <c r="N34" s="2123"/>
      <c r="O34" s="2123"/>
      <c r="P34" s="2124"/>
      <c r="Q34" s="952"/>
    </row>
    <row r="35" spans="1:17" ht="20.25" customHeight="1">
      <c r="A35" s="956"/>
      <c r="B35" s="979"/>
      <c r="H35" s="940"/>
      <c r="I35" s="959"/>
      <c r="J35" s="2122"/>
      <c r="K35" s="2123"/>
      <c r="L35" s="2123"/>
      <c r="M35" s="2123"/>
      <c r="N35" s="2123"/>
      <c r="O35" s="2123"/>
      <c r="P35" s="2124"/>
      <c r="Q35" s="952"/>
    </row>
    <row r="36" spans="1:17" ht="20.25" customHeight="1">
      <c r="A36" s="956"/>
      <c r="B36" s="2143"/>
      <c r="C36" s="2144"/>
      <c r="D36" s="2144"/>
      <c r="E36" s="2144"/>
      <c r="F36" s="2144"/>
      <c r="G36" s="2144"/>
      <c r="H36" s="2145"/>
      <c r="I36" s="959"/>
      <c r="J36" s="2122"/>
      <c r="K36" s="2123"/>
      <c r="L36" s="2123"/>
      <c r="M36" s="2123"/>
      <c r="N36" s="2123"/>
      <c r="O36" s="2123"/>
      <c r="P36" s="2124"/>
      <c r="Q36" s="952"/>
    </row>
    <row r="37" spans="1:17" ht="20.25" customHeight="1">
      <c r="A37" s="956"/>
      <c r="B37" s="1027"/>
      <c r="C37" s="1026"/>
      <c r="D37" s="1026"/>
      <c r="E37" s="1026"/>
      <c r="F37" s="1026"/>
      <c r="G37" s="1026"/>
      <c r="H37" s="1025"/>
      <c r="I37" s="959"/>
      <c r="J37" s="2122"/>
      <c r="K37" s="2123"/>
      <c r="L37" s="2123"/>
      <c r="M37" s="2123"/>
      <c r="N37" s="2123"/>
      <c r="O37" s="2123"/>
      <c r="P37" s="2124"/>
      <c r="Q37" s="952"/>
    </row>
    <row r="38" spans="1:17" ht="21" customHeight="1" thickBot="1">
      <c r="A38" s="956"/>
      <c r="B38" s="1024"/>
      <c r="C38" s="1023"/>
      <c r="D38" s="1023"/>
      <c r="E38" s="1023"/>
      <c r="F38" s="1023"/>
      <c r="G38" s="1023"/>
      <c r="H38" s="1022"/>
      <c r="I38" s="959"/>
      <c r="J38" s="2125"/>
      <c r="K38" s="2126"/>
      <c r="L38" s="2126"/>
      <c r="M38" s="2126"/>
      <c r="N38" s="2126"/>
      <c r="O38" s="2126"/>
      <c r="P38" s="2127"/>
      <c r="Q38" s="952"/>
    </row>
    <row r="39" spans="1:17" ht="17.25" customHeight="1" thickBot="1">
      <c r="A39" s="956"/>
      <c r="B39" s="1021"/>
      <c r="C39" s="1020"/>
      <c r="D39" s="1020"/>
      <c r="E39" s="1020"/>
      <c r="F39" s="1020"/>
      <c r="G39" s="1020"/>
      <c r="H39" s="1019"/>
      <c r="I39" s="959"/>
      <c r="J39" s="1018"/>
      <c r="K39" s="1017"/>
      <c r="L39" s="1017"/>
      <c r="M39" s="1017"/>
      <c r="N39" s="1017"/>
      <c r="O39" s="1017"/>
      <c r="P39" s="938"/>
      <c r="Q39" s="952"/>
    </row>
    <row r="40" spans="1:17" ht="31.5" customHeight="1" thickBot="1">
      <c r="A40" s="956"/>
      <c r="B40" s="2087" t="s">
        <v>575</v>
      </c>
      <c r="C40" s="2088"/>
      <c r="D40" s="2088"/>
      <c r="E40" s="2088"/>
      <c r="F40" s="2088"/>
      <c r="G40" s="2088"/>
      <c r="H40" s="2089"/>
      <c r="I40" s="959"/>
      <c r="J40" s="2111" t="s">
        <v>574</v>
      </c>
      <c r="K40" s="2112"/>
      <c r="L40" s="2112"/>
      <c r="M40" s="2112"/>
      <c r="N40" s="2112"/>
      <c r="O40" s="2112"/>
      <c r="P40" s="2113"/>
      <c r="Q40" s="952"/>
    </row>
    <row r="41" spans="1:17" ht="20.25">
      <c r="A41" s="956"/>
      <c r="B41" s="2072" t="s">
        <v>573</v>
      </c>
      <c r="C41" s="2073"/>
      <c r="D41" s="2073"/>
      <c r="E41" s="1016"/>
      <c r="F41" s="2114">
        <v>1995</v>
      </c>
      <c r="G41" s="2114"/>
      <c r="H41" s="2115"/>
      <c r="I41" s="959"/>
      <c r="J41" s="2116" t="s">
        <v>572</v>
      </c>
      <c r="K41" s="2117"/>
      <c r="L41" s="2117"/>
      <c r="M41" s="2117"/>
      <c r="N41" s="2117"/>
      <c r="O41" s="2117"/>
      <c r="P41" s="2118"/>
      <c r="Q41" s="952"/>
    </row>
    <row r="42" spans="1:17" ht="20.25">
      <c r="A42" s="956"/>
      <c r="B42" s="2103" t="s">
        <v>571</v>
      </c>
      <c r="C42" s="2104"/>
      <c r="D42" s="2104"/>
      <c r="E42" s="1001"/>
      <c r="F42" s="2105">
        <v>599</v>
      </c>
      <c r="G42" s="2105"/>
      <c r="H42" s="2106"/>
      <c r="I42" s="959"/>
      <c r="J42" s="979"/>
      <c r="P42" s="940"/>
      <c r="Q42" s="952"/>
    </row>
    <row r="43" spans="1:17" ht="20.25">
      <c r="A43" s="956"/>
      <c r="B43" s="2081" t="s">
        <v>617</v>
      </c>
      <c r="C43" s="2082"/>
      <c r="D43" s="2082"/>
      <c r="E43" s="1015"/>
      <c r="F43" s="2105">
        <v>575</v>
      </c>
      <c r="G43" s="2105"/>
      <c r="H43" s="2106"/>
      <c r="I43" s="959"/>
      <c r="J43" s="2137" t="s">
        <v>570</v>
      </c>
      <c r="K43" s="2138"/>
      <c r="L43" s="2138"/>
      <c r="M43" s="2138"/>
      <c r="N43" s="2138"/>
      <c r="O43" s="2138"/>
      <c r="P43" s="2139"/>
      <c r="Q43" s="952"/>
    </row>
    <row r="44" spans="1:17" ht="20.25">
      <c r="A44" s="956"/>
      <c r="B44" s="2081" t="s">
        <v>569</v>
      </c>
      <c r="C44" s="2082"/>
      <c r="D44" s="2082"/>
      <c r="E44" s="2082"/>
      <c r="F44" s="2082"/>
      <c r="G44" s="2082"/>
      <c r="H44" s="2090"/>
      <c r="I44" s="959"/>
      <c r="J44" s="2140" t="s">
        <v>568</v>
      </c>
      <c r="K44" s="2141"/>
      <c r="L44" s="2141"/>
      <c r="M44" s="2141"/>
      <c r="N44" s="2141"/>
      <c r="O44" s="2141"/>
      <c r="P44" s="2142"/>
      <c r="Q44" s="952"/>
    </row>
    <row r="45" spans="1:17" ht="20.25">
      <c r="A45" s="956"/>
      <c r="B45" s="2097" t="s">
        <v>567</v>
      </c>
      <c r="C45" s="2098"/>
      <c r="D45" s="2098"/>
      <c r="E45" s="2098"/>
      <c r="F45" s="2098"/>
      <c r="G45" s="2098"/>
      <c r="H45" s="2099"/>
      <c r="I45" s="959"/>
      <c r="J45" s="979"/>
      <c r="P45" s="940"/>
      <c r="Q45" s="952"/>
    </row>
    <row r="46" spans="1:17" ht="20.25">
      <c r="A46" s="956"/>
      <c r="B46" s="994"/>
      <c r="C46" s="988"/>
      <c r="D46" s="959"/>
      <c r="E46" s="959"/>
      <c r="F46" s="1014"/>
      <c r="G46" s="1014"/>
      <c r="H46" s="998"/>
      <c r="I46" s="959"/>
      <c r="J46" s="1010"/>
      <c r="K46" s="1009"/>
      <c r="L46" s="1009"/>
      <c r="M46" s="1009"/>
      <c r="N46" s="1009"/>
      <c r="O46" s="1009"/>
      <c r="P46" s="1008"/>
      <c r="Q46" s="952"/>
    </row>
    <row r="47" spans="1:17" ht="21" thickBot="1">
      <c r="A47" s="956"/>
      <c r="B47" s="1013"/>
      <c r="C47" s="1012"/>
      <c r="D47" s="1012"/>
      <c r="E47" s="1012"/>
      <c r="F47" s="1012"/>
      <c r="G47" s="1012"/>
      <c r="H47" s="1011"/>
      <c r="I47" s="959"/>
      <c r="J47" s="1010"/>
      <c r="K47" s="1009"/>
      <c r="L47" s="1009"/>
      <c r="M47" s="1009"/>
      <c r="N47" s="1009"/>
      <c r="O47" s="1009"/>
      <c r="P47" s="1008"/>
      <c r="Q47" s="952"/>
    </row>
    <row r="48" spans="1:17" ht="31.5" customHeight="1" thickBot="1">
      <c r="A48" s="956"/>
      <c r="B48" s="1007"/>
      <c r="C48" s="1006"/>
      <c r="D48" s="1006"/>
      <c r="E48" s="1006"/>
      <c r="F48" s="1006"/>
      <c r="G48" s="1006"/>
      <c r="H48" s="1005"/>
      <c r="I48" s="999"/>
      <c r="J48" s="1004"/>
      <c r="K48" s="1003"/>
      <c r="L48" s="1003"/>
      <c r="M48" s="1003"/>
      <c r="N48" s="1003"/>
      <c r="O48" s="1003"/>
      <c r="P48" s="1002"/>
      <c r="Q48" s="952"/>
    </row>
    <row r="49" spans="1:17" ht="30.75" customHeight="1" thickBot="1">
      <c r="A49" s="956"/>
      <c r="B49" s="2087" t="s">
        <v>566</v>
      </c>
      <c r="C49" s="2088"/>
      <c r="D49" s="2088"/>
      <c r="E49" s="2088"/>
      <c r="F49" s="2088"/>
      <c r="G49" s="2088"/>
      <c r="H49" s="2089"/>
      <c r="J49" s="979"/>
      <c r="P49" s="940"/>
      <c r="Q49" s="952"/>
    </row>
    <row r="50" spans="1:17" ht="19.5" customHeight="1">
      <c r="A50" s="956"/>
      <c r="B50" s="2100" t="s">
        <v>565</v>
      </c>
      <c r="C50" s="2101"/>
      <c r="D50" s="2101"/>
      <c r="E50" s="2101"/>
      <c r="F50" s="2101"/>
      <c r="G50" s="2101"/>
      <c r="H50" s="2102"/>
      <c r="J50" s="979"/>
      <c r="P50" s="940"/>
      <c r="Q50" s="952"/>
    </row>
    <row r="51" spans="1:17" ht="19.5" customHeight="1">
      <c r="A51" s="956"/>
      <c r="B51" s="2100" t="s">
        <v>564</v>
      </c>
      <c r="C51" s="2101"/>
      <c r="D51" s="2101"/>
      <c r="E51" s="2101"/>
      <c r="F51" s="2101"/>
      <c r="G51" s="2101"/>
      <c r="H51" s="2102"/>
      <c r="J51" s="979"/>
      <c r="P51" s="940"/>
      <c r="Q51" s="952"/>
    </row>
    <row r="52" spans="1:17" ht="20.25">
      <c r="A52" s="956"/>
      <c r="B52" s="2081" t="s">
        <v>563</v>
      </c>
      <c r="C52" s="2082"/>
      <c r="D52" s="1000"/>
      <c r="E52" s="1000"/>
      <c r="F52" s="2083">
        <v>-0.125</v>
      </c>
      <c r="G52" s="2083"/>
      <c r="H52" s="998"/>
      <c r="J52" s="979"/>
      <c r="P52" s="940"/>
      <c r="Q52" s="952"/>
    </row>
    <row r="53" spans="1:17" ht="20.25">
      <c r="A53" s="956"/>
      <c r="B53" s="2081" t="s">
        <v>562</v>
      </c>
      <c r="C53" s="2082"/>
      <c r="D53" s="1000"/>
      <c r="E53" s="1000"/>
      <c r="F53" s="2083">
        <v>-0.25</v>
      </c>
      <c r="G53" s="2083"/>
      <c r="H53" s="998"/>
      <c r="J53" s="979"/>
      <c r="P53" s="940"/>
      <c r="Q53" s="952"/>
    </row>
    <row r="54" spans="1:17" ht="20.25">
      <c r="A54" s="956"/>
      <c r="B54" s="2081" t="s">
        <v>561</v>
      </c>
      <c r="C54" s="2082"/>
      <c r="D54" s="1000"/>
      <c r="E54" s="1000"/>
      <c r="F54" s="2083">
        <v>-0.375</v>
      </c>
      <c r="G54" s="2083"/>
      <c r="H54" s="998"/>
      <c r="J54" s="979"/>
      <c r="P54" s="940"/>
      <c r="Q54" s="952"/>
    </row>
    <row r="55" spans="1:17" ht="20.25">
      <c r="A55" s="956"/>
      <c r="B55" s="2081" t="s">
        <v>560</v>
      </c>
      <c r="C55" s="2082"/>
      <c r="D55" s="959"/>
      <c r="E55" s="959"/>
      <c r="F55" s="2083">
        <v>-0.5</v>
      </c>
      <c r="G55" s="2083"/>
      <c r="H55" s="998"/>
      <c r="J55" s="979"/>
      <c r="P55" s="940"/>
      <c r="Q55" s="952"/>
    </row>
    <row r="56" spans="1:17" ht="20.25" customHeight="1" thickBot="1">
      <c r="A56" s="956"/>
      <c r="B56" s="2084" t="s">
        <v>31</v>
      </c>
      <c r="C56" s="2085"/>
      <c r="D56" s="2085"/>
      <c r="E56" s="2085"/>
      <c r="F56" s="2085"/>
      <c r="G56" s="2085"/>
      <c r="H56" s="2086"/>
      <c r="I56" s="959"/>
      <c r="J56" s="997"/>
      <c r="K56" s="996"/>
      <c r="L56" s="996"/>
      <c r="M56" s="996"/>
      <c r="N56" s="996"/>
      <c r="O56" s="996"/>
      <c r="P56" s="995"/>
      <c r="Q56" s="952"/>
    </row>
    <row r="57" spans="1:17" ht="20.25">
      <c r="A57" s="956"/>
      <c r="B57" s="979"/>
      <c r="D57" s="980"/>
      <c r="E57" s="980"/>
      <c r="F57" s="980"/>
      <c r="G57" s="999"/>
      <c r="H57" s="998"/>
      <c r="I57" s="959"/>
      <c r="J57" s="979"/>
      <c r="P57" s="940"/>
      <c r="Q57" s="952"/>
    </row>
    <row r="58" spans="1:17" ht="32.25" customHeight="1" thickBot="1">
      <c r="A58" s="956"/>
      <c r="B58" s="997"/>
      <c r="C58" s="996"/>
      <c r="D58" s="996"/>
      <c r="E58" s="996"/>
      <c r="F58" s="996"/>
      <c r="G58" s="996"/>
      <c r="H58" s="995"/>
      <c r="I58" s="959"/>
      <c r="J58" s="979"/>
      <c r="P58" s="940"/>
      <c r="Q58" s="952"/>
    </row>
    <row r="59" spans="1:17" ht="31.5" customHeight="1" thickBot="1">
      <c r="A59" s="956"/>
      <c r="B59" s="2087" t="s">
        <v>175</v>
      </c>
      <c r="C59" s="2088"/>
      <c r="D59" s="2088"/>
      <c r="E59" s="2088"/>
      <c r="F59" s="2088"/>
      <c r="G59" s="2088"/>
      <c r="H59" s="2088"/>
      <c r="I59" s="2088"/>
      <c r="J59" s="2088"/>
      <c r="K59" s="2088"/>
      <c r="L59" s="2088"/>
      <c r="M59" s="2088"/>
      <c r="N59" s="2088"/>
      <c r="O59" s="2088"/>
      <c r="P59" s="2089"/>
      <c r="Q59" s="952"/>
    </row>
    <row r="60" spans="1:17" ht="20.25" customHeight="1">
      <c r="A60" s="956"/>
      <c r="B60" s="2072" t="s">
        <v>176</v>
      </c>
      <c r="C60" s="2073"/>
      <c r="D60" s="2073"/>
      <c r="E60" s="2073"/>
      <c r="F60" s="2073"/>
      <c r="G60" s="2073"/>
      <c r="H60" s="2073"/>
      <c r="I60" s="2073"/>
      <c r="J60" s="2073"/>
      <c r="K60" s="2073"/>
      <c r="L60" s="2073"/>
      <c r="M60" s="2073"/>
      <c r="N60" s="2073"/>
      <c r="O60" s="2073"/>
      <c r="P60" s="2074"/>
      <c r="Q60" s="952"/>
    </row>
    <row r="61" spans="1:17" ht="20.25" customHeight="1">
      <c r="A61" s="956"/>
      <c r="B61" s="2081" t="s">
        <v>349</v>
      </c>
      <c r="C61" s="2082"/>
      <c r="D61" s="2082"/>
      <c r="E61" s="2082"/>
      <c r="F61" s="2082"/>
      <c r="G61" s="2082"/>
      <c r="H61" s="2082"/>
      <c r="I61" s="2082"/>
      <c r="J61" s="2082"/>
      <c r="K61" s="2082"/>
      <c r="L61" s="2082"/>
      <c r="M61" s="2082"/>
      <c r="N61" s="2082"/>
      <c r="O61" s="2082"/>
      <c r="P61" s="2090"/>
      <c r="Q61" s="952"/>
    </row>
    <row r="62" spans="1:17" ht="20.25" customHeight="1">
      <c r="A62" s="956"/>
      <c r="B62" s="991"/>
      <c r="C62" s="990"/>
      <c r="D62" s="990"/>
      <c r="E62" s="990"/>
      <c r="F62" s="990"/>
      <c r="G62" s="985"/>
      <c r="H62" s="985"/>
      <c r="I62" s="1012"/>
      <c r="J62" s="983"/>
      <c r="K62" s="983"/>
      <c r="L62" s="983"/>
      <c r="M62" s="983"/>
      <c r="N62" s="983"/>
      <c r="O62" s="983"/>
      <c r="P62" s="982"/>
      <c r="Q62" s="952"/>
    </row>
    <row r="63" spans="1:17" ht="20.25" customHeight="1">
      <c r="A63" s="956"/>
      <c r="B63" s="991" t="s">
        <v>177</v>
      </c>
      <c r="C63" s="990"/>
      <c r="D63" s="990"/>
      <c r="E63" s="990"/>
      <c r="F63" s="990"/>
      <c r="G63" s="985"/>
      <c r="H63" s="985"/>
      <c r="I63" s="1012"/>
      <c r="J63" s="1167"/>
      <c r="K63" s="1167"/>
      <c r="L63" s="1167"/>
      <c r="M63" s="1167"/>
      <c r="N63" s="1167"/>
      <c r="O63" s="1167"/>
      <c r="P63" s="1166"/>
      <c r="Q63" s="952"/>
    </row>
    <row r="64" spans="1:17" ht="20.25" customHeight="1">
      <c r="A64" s="956"/>
      <c r="B64" s="979"/>
      <c r="G64" s="985"/>
      <c r="H64" s="985"/>
      <c r="I64" s="959"/>
      <c r="J64" s="983"/>
      <c r="K64" s="983"/>
      <c r="L64" s="983"/>
      <c r="M64" s="983"/>
      <c r="N64" s="983"/>
      <c r="O64" s="983"/>
      <c r="P64" s="982"/>
      <c r="Q64" s="952"/>
    </row>
    <row r="65" spans="1:17" ht="23.25" customHeight="1" thickBot="1">
      <c r="A65" s="956"/>
      <c r="B65" s="979"/>
      <c r="G65" s="984"/>
      <c r="H65" s="984"/>
      <c r="I65" s="959"/>
      <c r="J65" s="983"/>
      <c r="K65" s="983"/>
      <c r="L65" s="983"/>
      <c r="M65" s="983"/>
      <c r="N65" s="983"/>
      <c r="O65" s="983"/>
      <c r="P65" s="982"/>
      <c r="Q65" s="952"/>
    </row>
    <row r="66" spans="1:17">
      <c r="A66" s="956"/>
      <c r="B66" s="981"/>
      <c r="C66" s="980"/>
      <c r="D66" s="980"/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43"/>
      <c r="Q66" s="952"/>
    </row>
    <row r="67" spans="1:17" ht="19.5" customHeight="1">
      <c r="A67" s="956"/>
      <c r="B67" s="979"/>
      <c r="P67" s="940"/>
      <c r="Q67" s="952"/>
    </row>
    <row r="68" spans="1:17" ht="22.5" customHeight="1">
      <c r="A68" s="956"/>
      <c r="B68" s="979"/>
      <c r="P68" s="940"/>
      <c r="Q68" s="952"/>
    </row>
    <row r="69" spans="1:17">
      <c r="A69" s="956"/>
      <c r="B69" s="979"/>
      <c r="P69" s="940"/>
      <c r="Q69" s="952"/>
    </row>
    <row r="70" spans="1:17">
      <c r="A70" s="956"/>
      <c r="B70" s="979"/>
      <c r="P70" s="940"/>
      <c r="Q70" s="952"/>
    </row>
    <row r="71" spans="1:17">
      <c r="A71" s="956"/>
      <c r="B71" s="979"/>
      <c r="P71" s="940"/>
      <c r="Q71" s="952"/>
    </row>
    <row r="72" spans="1:17" ht="40.5" customHeight="1">
      <c r="A72" s="956"/>
      <c r="B72" s="978"/>
      <c r="C72" s="970"/>
      <c r="D72" s="970"/>
      <c r="E72" s="970"/>
      <c r="F72" s="970"/>
      <c r="G72" s="970"/>
      <c r="H72" s="970"/>
      <c r="I72" s="959"/>
      <c r="J72" s="974"/>
      <c r="K72" s="974"/>
      <c r="L72" s="974"/>
      <c r="M72" s="974"/>
      <c r="N72" s="974"/>
      <c r="O72" s="974"/>
      <c r="P72" s="973"/>
      <c r="Q72" s="952"/>
    </row>
    <row r="73" spans="1:17" ht="20.25">
      <c r="A73" s="956"/>
      <c r="B73" s="977"/>
      <c r="C73" s="976"/>
      <c r="D73" s="959"/>
      <c r="E73" s="959"/>
      <c r="F73" s="975"/>
      <c r="G73" s="959"/>
      <c r="H73" s="959"/>
      <c r="I73" s="959"/>
      <c r="J73" s="974"/>
      <c r="K73" s="974"/>
      <c r="L73" s="974"/>
      <c r="M73" s="974"/>
      <c r="N73" s="974"/>
      <c r="O73" s="974"/>
      <c r="P73" s="973"/>
      <c r="Q73" s="952"/>
    </row>
    <row r="74" spans="1:17" ht="20.25">
      <c r="A74" s="956"/>
      <c r="B74" s="972"/>
      <c r="C74" s="965"/>
      <c r="D74" s="971"/>
      <c r="E74" s="971"/>
      <c r="F74" s="971"/>
      <c r="G74" s="971"/>
      <c r="H74" s="971"/>
      <c r="I74" s="959"/>
      <c r="J74" s="970"/>
      <c r="K74" s="935"/>
      <c r="L74" s="935"/>
      <c r="M74" s="935"/>
      <c r="N74" s="935"/>
      <c r="O74" s="935"/>
      <c r="P74" s="969"/>
      <c r="Q74" s="952"/>
    </row>
    <row r="75" spans="1:17" ht="20.25">
      <c r="A75" s="956"/>
      <c r="B75" s="966"/>
      <c r="C75" s="959"/>
      <c r="D75" s="959"/>
      <c r="E75" s="959"/>
      <c r="F75" s="959"/>
      <c r="G75" s="959"/>
      <c r="H75" s="959"/>
      <c r="I75" s="959"/>
      <c r="J75" s="935"/>
      <c r="K75" s="935"/>
      <c r="L75" s="935"/>
      <c r="M75" s="935"/>
      <c r="N75" s="935"/>
      <c r="O75" s="935"/>
      <c r="P75" s="969"/>
      <c r="Q75" s="952"/>
    </row>
    <row r="76" spans="1:17" ht="20.25">
      <c r="A76" s="956"/>
      <c r="B76" s="966"/>
      <c r="D76" s="959"/>
      <c r="E76" s="959"/>
      <c r="F76" s="959"/>
      <c r="G76" s="959"/>
      <c r="H76" s="959"/>
      <c r="I76" s="959"/>
      <c r="P76" s="940"/>
      <c r="Q76" s="952"/>
    </row>
    <row r="77" spans="1:17" ht="20.25" customHeight="1">
      <c r="A77" s="956"/>
      <c r="B77" s="966"/>
      <c r="C77" s="959"/>
      <c r="D77" s="959"/>
      <c r="E77" s="959"/>
      <c r="F77" s="959"/>
      <c r="G77" s="959"/>
      <c r="H77" s="959"/>
      <c r="I77" s="959"/>
      <c r="J77" s="960"/>
      <c r="N77" s="958"/>
      <c r="O77" s="958"/>
      <c r="P77" s="957"/>
      <c r="Q77" s="952"/>
    </row>
    <row r="78" spans="1:17" ht="20.25">
      <c r="A78" s="956"/>
      <c r="B78" s="968"/>
      <c r="C78" s="967"/>
      <c r="D78" s="967"/>
      <c r="E78" s="967"/>
      <c r="F78" s="967"/>
      <c r="G78" s="967"/>
      <c r="H78" s="967"/>
      <c r="I78" s="959"/>
      <c r="J78" s="960"/>
      <c r="K78" s="959"/>
      <c r="L78" s="959"/>
      <c r="M78" s="959"/>
      <c r="N78" s="958"/>
      <c r="O78" s="958"/>
      <c r="P78" s="957"/>
      <c r="Q78" s="952"/>
    </row>
    <row r="79" spans="1:17" ht="20.25" customHeight="1">
      <c r="A79" s="956"/>
      <c r="B79" s="968"/>
      <c r="C79" s="967"/>
      <c r="D79" s="967"/>
      <c r="E79" s="967"/>
      <c r="F79" s="967"/>
      <c r="G79" s="967"/>
      <c r="H79" s="967"/>
      <c r="I79" s="959"/>
      <c r="J79" s="960"/>
      <c r="K79" s="965"/>
      <c r="L79" s="965"/>
      <c r="M79" s="959"/>
      <c r="N79" s="958"/>
      <c r="O79" s="958"/>
      <c r="P79" s="957"/>
      <c r="Q79" s="952"/>
    </row>
    <row r="80" spans="1:17" ht="20.25">
      <c r="A80" s="956"/>
      <c r="B80" s="966"/>
      <c r="C80" s="959"/>
      <c r="D80" s="959"/>
      <c r="E80" s="959"/>
      <c r="F80" s="959"/>
      <c r="G80" s="959"/>
      <c r="H80" s="959"/>
      <c r="I80" s="959"/>
      <c r="J80" s="960"/>
      <c r="K80" s="965"/>
      <c r="L80" s="965"/>
      <c r="M80" s="959"/>
      <c r="N80" s="958"/>
      <c r="O80" s="958"/>
      <c r="P80" s="957"/>
      <c r="Q80" s="952"/>
    </row>
    <row r="81" spans="1:17" ht="20.25">
      <c r="A81" s="956"/>
      <c r="B81" s="963"/>
      <c r="C81" s="962"/>
      <c r="D81" s="962"/>
      <c r="E81" s="959"/>
      <c r="F81" s="959"/>
      <c r="G81" s="964"/>
      <c r="H81" s="959"/>
      <c r="I81" s="959"/>
      <c r="J81" s="960"/>
      <c r="K81" s="965"/>
      <c r="L81" s="965"/>
      <c r="M81" s="959"/>
      <c r="N81" s="958"/>
      <c r="O81" s="958"/>
      <c r="P81" s="957"/>
      <c r="Q81" s="952"/>
    </row>
    <row r="82" spans="1:17" ht="20.25">
      <c r="A82" s="956"/>
      <c r="B82" s="963"/>
      <c r="C82" s="962"/>
      <c r="D82" s="962"/>
      <c r="E82" s="959"/>
      <c r="F82" s="959"/>
      <c r="G82" s="964"/>
      <c r="H82" s="959"/>
      <c r="I82" s="959"/>
      <c r="J82" s="960"/>
      <c r="K82" s="959"/>
      <c r="L82" s="959"/>
      <c r="M82" s="959"/>
      <c r="N82" s="958"/>
      <c r="O82" s="958"/>
      <c r="P82" s="957"/>
      <c r="Q82" s="952"/>
    </row>
    <row r="83" spans="1:17" ht="20.25">
      <c r="A83" s="956"/>
      <c r="B83" s="963"/>
      <c r="C83" s="962"/>
      <c r="D83" s="962"/>
      <c r="E83" s="959"/>
      <c r="F83" s="959"/>
      <c r="G83" s="961"/>
      <c r="H83" s="959"/>
      <c r="I83" s="959"/>
      <c r="J83" s="960"/>
      <c r="K83" s="959"/>
      <c r="L83" s="959"/>
      <c r="M83" s="959"/>
      <c r="N83" s="958"/>
      <c r="O83" s="958"/>
      <c r="P83" s="957"/>
      <c r="Q83" s="952"/>
    </row>
    <row r="84" spans="1:17" ht="20.25" customHeight="1" thickBot="1">
      <c r="A84" s="956"/>
      <c r="B84" s="955"/>
      <c r="C84" s="954"/>
      <c r="D84" s="954"/>
      <c r="E84" s="947"/>
      <c r="F84" s="947"/>
      <c r="G84" s="947"/>
      <c r="H84" s="947"/>
      <c r="I84" s="947"/>
      <c r="J84" s="947"/>
      <c r="K84" s="947"/>
      <c r="L84" s="947"/>
      <c r="M84" s="947"/>
      <c r="N84" s="947"/>
      <c r="O84" s="947"/>
      <c r="P84" s="953"/>
      <c r="Q84" s="952"/>
    </row>
    <row r="85" spans="1:17" s="936" customFormat="1" ht="15.75" thickBot="1">
      <c r="A85" s="942"/>
      <c r="B85" s="942"/>
      <c r="C85" s="937"/>
      <c r="D85" s="937"/>
      <c r="E85" s="937"/>
      <c r="F85" s="937"/>
      <c r="G85" s="937"/>
      <c r="H85" s="937"/>
      <c r="I85" s="937"/>
      <c r="J85" s="937"/>
      <c r="K85" s="937"/>
      <c r="L85" s="937"/>
      <c r="M85" s="937"/>
      <c r="N85" s="937"/>
      <c r="O85" s="937"/>
      <c r="P85" s="949"/>
      <c r="Q85" s="949"/>
    </row>
    <row r="86" spans="1:17" s="936" customFormat="1">
      <c r="A86" s="942"/>
      <c r="B86" s="1748" t="s">
        <v>559</v>
      </c>
      <c r="C86" s="1749"/>
      <c r="D86" s="1749"/>
      <c r="E86" s="1749"/>
      <c r="F86" s="1749"/>
      <c r="G86" s="1749"/>
      <c r="H86" s="1749"/>
      <c r="I86" s="1749"/>
      <c r="J86" s="1749"/>
      <c r="K86" s="1749"/>
      <c r="L86" s="1749"/>
      <c r="M86" s="1749"/>
      <c r="N86" s="1749"/>
      <c r="O86" s="1749"/>
      <c r="P86" s="1750"/>
      <c r="Q86" s="949"/>
    </row>
    <row r="87" spans="1:17" s="936" customFormat="1" ht="15.75" thickBot="1">
      <c r="A87" s="942"/>
      <c r="B87" s="1751"/>
      <c r="C87" s="1752"/>
      <c r="D87" s="1752"/>
      <c r="E87" s="1752"/>
      <c r="F87" s="1752"/>
      <c r="G87" s="1752"/>
      <c r="H87" s="1752"/>
      <c r="I87" s="1752"/>
      <c r="J87" s="1752"/>
      <c r="K87" s="1752"/>
      <c r="L87" s="1752"/>
      <c r="M87" s="1752"/>
      <c r="N87" s="1752"/>
      <c r="O87" s="1752"/>
      <c r="P87" s="1753"/>
      <c r="Q87" s="949"/>
    </row>
    <row r="88" spans="1:17" s="936" customFormat="1" ht="21" customHeight="1">
      <c r="A88" s="942"/>
      <c r="B88" s="2072" t="s">
        <v>179</v>
      </c>
      <c r="C88" s="2073"/>
      <c r="D88" s="2073"/>
      <c r="E88" s="2073"/>
      <c r="F88" s="2073"/>
      <c r="G88" s="2073"/>
      <c r="H88" s="2073"/>
      <c r="I88" s="2073"/>
      <c r="J88" s="2073"/>
      <c r="K88" s="2073"/>
      <c r="L88" s="2073"/>
      <c r="M88" s="2073"/>
      <c r="N88" s="2073"/>
      <c r="O88" s="2073"/>
      <c r="P88" s="2074"/>
      <c r="Q88" s="949"/>
    </row>
    <row r="89" spans="1:17" s="936" customFormat="1" ht="21" customHeight="1" thickBot="1">
      <c r="A89" s="942"/>
      <c r="B89" s="2075" t="s">
        <v>180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49"/>
    </row>
    <row r="90" spans="1:17" s="936" customFormat="1">
      <c r="A90" s="942"/>
      <c r="B90" s="942"/>
      <c r="C90" s="937"/>
      <c r="D90" s="937"/>
      <c r="E90" s="937"/>
      <c r="F90" s="937"/>
      <c r="G90" s="937"/>
      <c r="H90" s="937"/>
      <c r="I90" s="937"/>
      <c r="J90" s="937"/>
      <c r="K90" s="937"/>
      <c r="L90" s="937"/>
      <c r="M90" s="937"/>
      <c r="N90" s="937"/>
      <c r="O90" s="937"/>
      <c r="P90" s="949"/>
      <c r="Q90" s="949"/>
    </row>
    <row r="91" spans="1:17" s="936" customFormat="1">
      <c r="A91" s="942"/>
      <c r="B91" s="942"/>
      <c r="C91" s="937"/>
      <c r="D91" s="937"/>
      <c r="E91" s="937"/>
      <c r="F91" s="937"/>
      <c r="G91" s="937"/>
      <c r="H91" s="937"/>
      <c r="I91" s="937"/>
      <c r="J91" s="937"/>
      <c r="K91" s="937"/>
      <c r="L91" s="937"/>
      <c r="M91" s="937"/>
      <c r="N91" s="937"/>
      <c r="O91" s="937"/>
      <c r="P91" s="949"/>
      <c r="Q91" s="949"/>
    </row>
    <row r="92" spans="1:17" s="936" customFormat="1">
      <c r="A92" s="942"/>
      <c r="B92" s="942"/>
      <c r="C92" s="937"/>
      <c r="D92" s="937"/>
      <c r="E92" s="937"/>
      <c r="F92" s="937"/>
      <c r="G92" s="937"/>
      <c r="H92" s="937"/>
      <c r="I92" s="937"/>
      <c r="J92" s="937"/>
      <c r="K92" s="937"/>
      <c r="L92" s="937"/>
      <c r="M92" s="937"/>
      <c r="N92" s="937"/>
      <c r="O92" s="937"/>
      <c r="P92" s="949"/>
      <c r="Q92" s="949"/>
    </row>
    <row r="93" spans="1:17" s="936" customFormat="1">
      <c r="A93" s="942"/>
      <c r="B93" s="942"/>
      <c r="C93" s="937"/>
      <c r="D93" s="937"/>
      <c r="E93" s="937"/>
      <c r="F93" s="937"/>
      <c r="G93" s="937"/>
      <c r="H93" s="937"/>
      <c r="I93" s="937"/>
      <c r="J93" s="937"/>
      <c r="K93" s="937"/>
      <c r="L93" s="937"/>
      <c r="M93" s="937"/>
      <c r="N93" s="937"/>
      <c r="O93" s="937"/>
      <c r="P93" s="949"/>
      <c r="Q93" s="949"/>
    </row>
    <row r="94" spans="1:17" s="936" customFormat="1">
      <c r="A94" s="942"/>
      <c r="B94" s="942"/>
      <c r="C94" s="937"/>
      <c r="D94" s="937"/>
      <c r="E94" s="937"/>
      <c r="F94" s="937"/>
      <c r="G94" s="937"/>
      <c r="H94" s="937"/>
      <c r="I94" s="937"/>
      <c r="J94" s="937"/>
      <c r="K94" s="937"/>
      <c r="L94" s="937"/>
      <c r="M94" s="937"/>
      <c r="N94" s="937"/>
      <c r="O94" s="937"/>
      <c r="P94" s="949"/>
      <c r="Q94" s="949"/>
    </row>
    <row r="95" spans="1:17" s="936" customFormat="1">
      <c r="A95" s="942"/>
      <c r="B95" s="942"/>
      <c r="C95" s="937"/>
      <c r="D95" s="937"/>
      <c r="E95" s="937"/>
      <c r="F95" s="937"/>
      <c r="G95" s="937"/>
      <c r="H95" s="937"/>
      <c r="I95" s="937"/>
      <c r="J95" s="937"/>
      <c r="K95" s="937"/>
      <c r="L95" s="937"/>
      <c r="M95" s="937"/>
      <c r="N95" s="937"/>
      <c r="O95" s="937"/>
      <c r="P95" s="949"/>
      <c r="Q95" s="949"/>
    </row>
    <row r="96" spans="1:17" s="936" customFormat="1">
      <c r="A96" s="942"/>
      <c r="B96" s="942"/>
      <c r="C96" s="937"/>
      <c r="D96" s="937"/>
      <c r="E96" s="937"/>
      <c r="F96" s="937"/>
      <c r="G96" s="937"/>
      <c r="H96" s="937"/>
      <c r="I96" s="937"/>
      <c r="J96" s="937"/>
      <c r="K96" s="937"/>
      <c r="L96" s="937"/>
      <c r="M96" s="937"/>
      <c r="N96" s="937"/>
      <c r="O96" s="937"/>
      <c r="P96" s="949"/>
      <c r="Q96" s="949"/>
    </row>
    <row r="97" spans="1:17" s="936" customFormat="1" ht="15.75" thickBot="1">
      <c r="A97" s="942"/>
      <c r="B97" s="939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0"/>
      <c r="Q97" s="949"/>
    </row>
    <row r="98" spans="1:17" ht="21" thickBot="1">
      <c r="A98" s="948"/>
      <c r="B98" s="947"/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6"/>
    </row>
    <row r="99" spans="1:17" ht="15" customHeight="1">
      <c r="A99" s="945"/>
      <c r="B99" s="2078" t="s">
        <v>181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43"/>
    </row>
    <row r="100" spans="1:17">
      <c r="A100" s="942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40"/>
    </row>
    <row r="101" spans="1:17">
      <c r="A101" s="942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40"/>
    </row>
    <row r="102" spans="1:17" ht="15.75" thickBot="1">
      <c r="A102" s="939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38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37" customWidth="1"/>
    <col min="2" max="2" width="17.7109375" style="936" customWidth="1"/>
    <col min="3" max="4" width="13.7109375" style="936" customWidth="1"/>
    <col min="5" max="5" width="1.5703125" style="936" customWidth="1"/>
    <col min="6" max="6" width="13.85546875" style="936" customWidth="1"/>
    <col min="7" max="8" width="13.7109375" style="936" customWidth="1"/>
    <col min="9" max="9" width="1.5703125" style="936" customWidth="1"/>
    <col min="10" max="11" width="13.7109375" style="936" customWidth="1"/>
    <col min="12" max="12" width="16.5703125" style="936" customWidth="1"/>
    <col min="13" max="13" width="1.42578125" style="936" customWidth="1"/>
    <col min="14" max="16" width="13.7109375" style="936" customWidth="1"/>
    <col min="17" max="17" width="2" style="936" customWidth="1"/>
    <col min="18" max="16384" width="9.140625" style="935"/>
  </cols>
  <sheetData>
    <row r="1" spans="1:17">
      <c r="A1" s="1078" t="s">
        <v>582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6"/>
    </row>
    <row r="2" spans="1:17">
      <c r="A2" s="1060"/>
      <c r="B2" s="1061"/>
      <c r="C2" s="1058"/>
      <c r="D2" s="1074"/>
      <c r="E2" s="1074"/>
      <c r="F2" s="1058"/>
      <c r="G2" s="1058"/>
      <c r="H2" s="1058"/>
      <c r="I2" s="1058"/>
      <c r="J2" s="1058"/>
      <c r="K2" s="1058"/>
      <c r="L2" s="2107" t="s">
        <v>329</v>
      </c>
      <c r="M2" s="2107"/>
      <c r="N2" s="2107"/>
      <c r="O2" s="2108">
        <f ca="1">NOW()</f>
        <v>46223.360261689813</v>
      </c>
      <c r="P2" s="2108"/>
      <c r="Q2" s="1075"/>
    </row>
    <row r="3" spans="1:17">
      <c r="A3" s="1060"/>
      <c r="B3" s="1061"/>
      <c r="C3" s="1074"/>
      <c r="D3" s="1073"/>
      <c r="E3" s="1063"/>
      <c r="F3" s="1058"/>
      <c r="G3" s="1058"/>
      <c r="H3" s="1058"/>
      <c r="I3" s="1058"/>
      <c r="J3" s="1058"/>
      <c r="K3" s="1058"/>
      <c r="L3" s="1059"/>
      <c r="M3" s="1061"/>
      <c r="N3" s="2108"/>
      <c r="O3" s="2108"/>
      <c r="P3" s="1072" t="s">
        <v>581</v>
      </c>
      <c r="Q3" s="1068"/>
    </row>
    <row r="4" spans="1:17">
      <c r="A4" s="1060"/>
      <c r="B4" s="1061"/>
      <c r="C4" s="1061"/>
      <c r="D4" s="1066"/>
      <c r="E4" s="1063"/>
      <c r="F4" s="1058"/>
      <c r="G4" s="1058"/>
      <c r="H4" s="1058"/>
      <c r="I4" s="1058"/>
      <c r="J4" s="1058"/>
      <c r="K4" s="1058"/>
      <c r="L4" s="1058"/>
      <c r="M4" s="1061"/>
      <c r="N4" s="1061"/>
      <c r="O4" s="2107"/>
      <c r="P4" s="2107"/>
      <c r="Q4" s="1068"/>
    </row>
    <row r="5" spans="1:17" ht="15.75">
      <c r="A5" s="1060"/>
      <c r="B5" s="1071"/>
      <c r="C5" s="1070"/>
      <c r="D5" s="1069"/>
      <c r="E5" s="1063"/>
      <c r="F5" s="1058"/>
      <c r="G5" s="1058"/>
      <c r="H5" s="1058"/>
      <c r="I5" s="1058"/>
      <c r="J5" s="1058"/>
      <c r="K5" s="1058"/>
      <c r="L5" s="1058"/>
      <c r="M5" s="1059"/>
      <c r="N5" s="1059"/>
      <c r="O5" s="2109"/>
      <c r="P5" s="2109"/>
      <c r="Q5" s="1068"/>
    </row>
    <row r="6" spans="1:17">
      <c r="A6" s="1067"/>
      <c r="B6" s="1066"/>
      <c r="C6" s="1066"/>
      <c r="D6" s="1058"/>
      <c r="E6" s="1063"/>
      <c r="F6" s="1058"/>
      <c r="G6" s="1058"/>
      <c r="H6" s="1058"/>
      <c r="I6" s="1058"/>
      <c r="J6" s="1058"/>
      <c r="K6" s="1058"/>
      <c r="L6" s="1058"/>
      <c r="M6" s="1059"/>
      <c r="N6" s="2131"/>
      <c r="O6" s="2132"/>
      <c r="P6" s="2132"/>
      <c r="Q6" s="1065"/>
    </row>
    <row r="7" spans="1:17">
      <c r="A7" s="1060"/>
      <c r="B7" s="1064"/>
      <c r="C7" s="1059"/>
      <c r="D7" s="1064"/>
      <c r="E7" s="1063"/>
      <c r="F7" s="1058"/>
      <c r="G7" s="1058"/>
      <c r="H7" s="1058"/>
      <c r="I7" s="1058"/>
      <c r="J7" s="1058"/>
      <c r="K7" s="1058"/>
      <c r="L7" s="1058"/>
      <c r="M7" s="1058"/>
      <c r="N7" s="2133"/>
      <c r="O7" s="2133"/>
      <c r="P7" s="2133"/>
      <c r="Q7" s="1056"/>
    </row>
    <row r="8" spans="1:17">
      <c r="A8" s="1060"/>
      <c r="B8" s="1064"/>
      <c r="C8" s="1059"/>
      <c r="D8" s="1064"/>
      <c r="E8" s="1063"/>
      <c r="F8" s="1058"/>
      <c r="G8" s="1058"/>
      <c r="H8" s="1058"/>
      <c r="I8" s="1058"/>
      <c r="J8" s="1058"/>
      <c r="K8" s="1058"/>
      <c r="L8" s="1059"/>
      <c r="M8" s="1059"/>
      <c r="N8" s="2133"/>
      <c r="O8" s="2133"/>
      <c r="P8" s="2133"/>
      <c r="Q8" s="1056"/>
    </row>
    <row r="9" spans="1:17">
      <c r="A9" s="1060"/>
      <c r="B9" s="1064"/>
      <c r="C9" s="1059"/>
      <c r="D9" s="1064"/>
      <c r="E9" s="1063"/>
      <c r="F9" s="1058"/>
      <c r="G9" s="1058"/>
      <c r="H9" s="1058"/>
      <c r="I9" s="1058"/>
      <c r="J9" s="1058"/>
      <c r="K9" s="1058"/>
      <c r="L9" s="1059"/>
      <c r="M9" s="1059"/>
      <c r="N9" s="1062"/>
      <c r="O9" s="1061"/>
      <c r="P9" s="1057"/>
      <c r="Q9" s="1056"/>
    </row>
    <row r="10" spans="1:17">
      <c r="A10" s="1060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3"/>
      <c r="N10" s="1058"/>
      <c r="O10" s="1058"/>
      <c r="P10" s="1057"/>
      <c r="Q10" s="1056"/>
    </row>
    <row r="11" spans="1:17">
      <c r="A11" s="1055"/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3"/>
      <c r="Q11" s="1052"/>
    </row>
    <row r="12" spans="1:17" ht="15" customHeight="1">
      <c r="A12" s="2111" t="s">
        <v>339</v>
      </c>
      <c r="B12" s="2112"/>
      <c r="C12" s="2112"/>
      <c r="D12" s="2112"/>
      <c r="E12" s="2112"/>
      <c r="F12" s="2112"/>
      <c r="G12" s="2112"/>
      <c r="H12" s="2112"/>
      <c r="I12" s="2112"/>
      <c r="J12" s="2112"/>
      <c r="K12" s="2112"/>
      <c r="L12" s="2112"/>
      <c r="M12" s="2112"/>
      <c r="N12" s="2112"/>
      <c r="O12" s="2112"/>
      <c r="P12" s="2112"/>
      <c r="Q12" s="2113"/>
    </row>
    <row r="13" spans="1:17" ht="15.75" customHeight="1" thickBot="1">
      <c r="A13" s="2134"/>
      <c r="B13" s="2135"/>
      <c r="C13" s="2135"/>
      <c r="D13" s="2135"/>
      <c r="E13" s="2135"/>
      <c r="F13" s="2135"/>
      <c r="G13" s="2135"/>
      <c r="H13" s="2135"/>
      <c r="I13" s="2135"/>
      <c r="J13" s="2135"/>
      <c r="K13" s="2135"/>
      <c r="L13" s="2135"/>
      <c r="M13" s="2135"/>
      <c r="N13" s="2135"/>
      <c r="O13" s="2135"/>
      <c r="P13" s="2135"/>
      <c r="Q13" s="2136"/>
    </row>
    <row r="14" spans="1:17">
      <c r="A14" s="956"/>
      <c r="B14" s="1051"/>
      <c r="C14" s="1051"/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952"/>
    </row>
    <row r="15" spans="1:17" ht="15" customHeight="1">
      <c r="A15" s="956"/>
      <c r="B15" s="1050" t="s">
        <v>580</v>
      </c>
      <c r="C15" s="1049"/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8"/>
      <c r="Q15" s="952"/>
    </row>
    <row r="16" spans="1:17" ht="15" customHeight="1">
      <c r="A16" s="956"/>
      <c r="B16" s="1038"/>
      <c r="C16" s="1033"/>
      <c r="D16" s="1033"/>
      <c r="E16" s="1033"/>
      <c r="F16" s="1033"/>
      <c r="G16" s="1033"/>
      <c r="H16" s="1033"/>
      <c r="I16" s="1033"/>
      <c r="J16" s="2110"/>
      <c r="K16" s="2110"/>
      <c r="L16" s="1033"/>
      <c r="M16" s="1033"/>
      <c r="N16" s="1033"/>
      <c r="O16" s="1033"/>
      <c r="P16" s="1037"/>
      <c r="Q16" s="952"/>
    </row>
    <row r="17" spans="1:17" ht="15" customHeight="1">
      <c r="A17" s="956"/>
      <c r="B17" s="1038"/>
      <c r="C17" s="1033"/>
      <c r="D17" s="1033"/>
      <c r="E17" s="1033"/>
      <c r="F17" s="1033"/>
      <c r="G17" s="1033"/>
      <c r="H17" s="1033"/>
      <c r="I17" s="1033"/>
      <c r="J17" s="988"/>
      <c r="K17" s="1043"/>
      <c r="L17" s="1042"/>
      <c r="M17" s="1033"/>
      <c r="N17" s="1041"/>
      <c r="O17" s="1040"/>
      <c r="P17" s="1039"/>
      <c r="Q17" s="952"/>
    </row>
    <row r="18" spans="1:17" ht="15" customHeight="1">
      <c r="A18" s="956"/>
      <c r="B18" s="1038"/>
      <c r="C18" s="1033"/>
      <c r="D18" s="1033"/>
      <c r="E18" s="1033"/>
      <c r="F18" s="1033"/>
      <c r="G18" s="1033"/>
      <c r="H18" s="1033"/>
      <c r="I18" s="1033"/>
      <c r="J18" s="2110"/>
      <c r="K18" s="2110"/>
      <c r="L18" s="1047"/>
      <c r="M18" s="1045"/>
      <c r="N18" s="1040"/>
      <c r="O18" s="1045"/>
      <c r="P18" s="1044"/>
      <c r="Q18" s="952"/>
    </row>
    <row r="19" spans="1:17" ht="15" customHeight="1">
      <c r="A19" s="956"/>
      <c r="B19" s="1038"/>
      <c r="C19" s="1033"/>
      <c r="D19" s="1033"/>
      <c r="E19" s="1033"/>
      <c r="F19" s="1033"/>
      <c r="G19" s="1033"/>
      <c r="H19" s="1033"/>
      <c r="I19" s="1033"/>
      <c r="J19" s="988"/>
      <c r="K19" s="1043"/>
      <c r="L19" s="1042"/>
      <c r="M19" s="1033"/>
      <c r="N19" s="1041"/>
      <c r="O19" s="1040"/>
      <c r="P19" s="1039"/>
      <c r="Q19" s="952"/>
    </row>
    <row r="20" spans="1:17" ht="15" customHeight="1">
      <c r="A20" s="956"/>
      <c r="B20" s="1038"/>
      <c r="C20" s="1033"/>
      <c r="D20" s="1033"/>
      <c r="E20" s="1033"/>
      <c r="F20" s="1033"/>
      <c r="G20" s="1033"/>
      <c r="H20" s="1033"/>
      <c r="I20" s="1033"/>
      <c r="J20" s="2110"/>
      <c r="K20" s="2110"/>
      <c r="L20" s="1042"/>
      <c r="M20" s="1045"/>
      <c r="N20" s="1042"/>
      <c r="O20" s="1045"/>
      <c r="P20" s="1044"/>
      <c r="Q20" s="952"/>
    </row>
    <row r="21" spans="1:17" ht="15" customHeight="1">
      <c r="A21" s="956"/>
      <c r="B21" s="1038"/>
      <c r="C21" s="1033"/>
      <c r="D21" s="1033"/>
      <c r="E21" s="1033"/>
      <c r="F21" s="1033"/>
      <c r="G21" s="1033"/>
      <c r="H21" s="1033"/>
      <c r="I21" s="1033"/>
      <c r="J21" s="988"/>
      <c r="K21" s="1043"/>
      <c r="L21" s="1042"/>
      <c r="M21" s="1033"/>
      <c r="N21" s="1041"/>
      <c r="O21" s="1040"/>
      <c r="P21" s="1039"/>
      <c r="Q21" s="952"/>
    </row>
    <row r="22" spans="1:17" ht="14.25" customHeight="1">
      <c r="A22" s="956"/>
      <c r="B22" s="1038"/>
      <c r="C22" s="1033"/>
      <c r="D22" s="1033"/>
      <c r="E22" s="1033"/>
      <c r="F22" s="1033"/>
      <c r="G22" s="1033"/>
      <c r="H22" s="1033"/>
      <c r="I22" s="1033"/>
      <c r="J22" s="2110"/>
      <c r="K22" s="2110"/>
      <c r="L22" s="1045"/>
      <c r="M22" s="1045"/>
      <c r="N22" s="1046"/>
      <c r="O22" s="1045"/>
      <c r="P22" s="1044"/>
      <c r="Q22" s="952"/>
    </row>
    <row r="23" spans="1:17" ht="15" customHeight="1">
      <c r="A23" s="956"/>
      <c r="B23" s="1038"/>
      <c r="C23" s="1033"/>
      <c r="D23" s="1033"/>
      <c r="E23" s="1033"/>
      <c r="F23" s="1033"/>
      <c r="G23" s="1033"/>
      <c r="H23" s="1033"/>
      <c r="I23" s="1033"/>
      <c r="J23" s="988"/>
      <c r="K23" s="1043"/>
      <c r="L23" s="1042"/>
      <c r="M23" s="1033"/>
      <c r="N23" s="1041"/>
      <c r="O23" s="1040"/>
      <c r="P23" s="1039"/>
      <c r="Q23" s="952"/>
    </row>
    <row r="24" spans="1:17" ht="15" customHeight="1">
      <c r="A24" s="956"/>
      <c r="B24" s="1038"/>
      <c r="C24" s="1033"/>
      <c r="D24" s="1033"/>
      <c r="E24" s="1033"/>
      <c r="F24" s="1033"/>
      <c r="G24" s="1033"/>
      <c r="H24" s="1033"/>
      <c r="I24" s="1033"/>
      <c r="J24" s="1033"/>
      <c r="K24" s="1033"/>
      <c r="L24" s="1033" t="s">
        <v>579</v>
      </c>
      <c r="M24" s="1033"/>
      <c r="N24" s="1033"/>
      <c r="O24" s="1033"/>
      <c r="P24" s="1037"/>
      <c r="Q24" s="952"/>
    </row>
    <row r="25" spans="1:17" ht="15" customHeight="1">
      <c r="A25" s="956"/>
      <c r="B25" s="1038"/>
      <c r="C25" s="1033"/>
      <c r="D25" s="1033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7"/>
      <c r="Q25" s="952"/>
    </row>
    <row r="26" spans="1:17" ht="15" customHeight="1">
      <c r="A26" s="956"/>
      <c r="B26" s="1038"/>
      <c r="C26" s="1033"/>
      <c r="D26" s="1033"/>
      <c r="E26" s="1033"/>
      <c r="F26" s="1033"/>
      <c r="G26" s="1033"/>
      <c r="H26" s="1033"/>
      <c r="I26" s="1033"/>
      <c r="J26" s="1033"/>
      <c r="K26" s="1033"/>
      <c r="L26" s="1033"/>
      <c r="M26" s="1033"/>
      <c r="N26" s="1033"/>
      <c r="O26" s="1033"/>
      <c r="P26" s="1037"/>
      <c r="Q26" s="952"/>
    </row>
    <row r="27" spans="1:17" ht="15" customHeight="1">
      <c r="A27" s="956"/>
      <c r="B27" s="1036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4"/>
      <c r="Q27" s="952"/>
    </row>
    <row r="28" spans="1:17" ht="11.25" customHeight="1" thickBot="1">
      <c r="A28" s="956"/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952"/>
    </row>
    <row r="29" spans="1:17" ht="31.5" customHeight="1" thickBot="1">
      <c r="A29" s="956"/>
      <c r="B29" s="2128" t="s">
        <v>578</v>
      </c>
      <c r="C29" s="2129"/>
      <c r="D29" s="2129"/>
      <c r="E29" s="2129"/>
      <c r="F29" s="2129"/>
      <c r="G29" s="2129"/>
      <c r="H29" s="2130"/>
      <c r="I29" s="959"/>
      <c r="J29" s="1748" t="s">
        <v>577</v>
      </c>
      <c r="K29" s="1749"/>
      <c r="L29" s="1749"/>
      <c r="M29" s="1749"/>
      <c r="N29" s="1749"/>
      <c r="O29" s="1749"/>
      <c r="P29" s="1750"/>
      <c r="Q29" s="952"/>
    </row>
    <row r="30" spans="1:17" ht="29.25" customHeight="1">
      <c r="A30" s="956"/>
      <c r="B30" s="966"/>
      <c r="C30" s="959"/>
      <c r="D30" s="959"/>
      <c r="E30" s="959"/>
      <c r="F30" s="959"/>
      <c r="G30" s="959"/>
      <c r="H30" s="998"/>
      <c r="I30" s="959"/>
      <c r="J30" s="2119" t="s">
        <v>255</v>
      </c>
      <c r="K30" s="2120"/>
      <c r="L30" s="2120"/>
      <c r="M30" s="2120"/>
      <c r="N30" s="2120"/>
      <c r="O30" s="2120"/>
      <c r="P30" s="2121"/>
      <c r="Q30" s="952"/>
    </row>
    <row r="31" spans="1:17" ht="20.25" customHeight="1">
      <c r="A31" s="956"/>
      <c r="B31" s="1031" t="s">
        <v>209</v>
      </c>
      <c r="C31" s="965"/>
      <c r="D31" s="965"/>
      <c r="E31" s="1012"/>
      <c r="F31" s="1012"/>
      <c r="G31" s="2082" t="s">
        <v>171</v>
      </c>
      <c r="H31" s="2090"/>
      <c r="I31" s="959"/>
      <c r="J31" s="2122"/>
      <c r="K31" s="2123"/>
      <c r="L31" s="2123"/>
      <c r="M31" s="2123"/>
      <c r="N31" s="2123"/>
      <c r="O31" s="2123"/>
      <c r="P31" s="2124"/>
      <c r="Q31" s="952"/>
    </row>
    <row r="32" spans="1:17" ht="19.5" customHeight="1">
      <c r="A32" s="956"/>
      <c r="B32" s="1031" t="s">
        <v>34</v>
      </c>
      <c r="C32" s="1032"/>
      <c r="D32" s="965"/>
      <c r="E32" s="965"/>
      <c r="F32" s="965"/>
      <c r="G32" s="2082" t="s">
        <v>172</v>
      </c>
      <c r="H32" s="2090"/>
      <c r="I32" s="959"/>
      <c r="J32" s="2122"/>
      <c r="K32" s="2123"/>
      <c r="L32" s="2123"/>
      <c r="M32" s="2123"/>
      <c r="N32" s="2123"/>
      <c r="O32" s="2123"/>
      <c r="P32" s="2124"/>
      <c r="Q32" s="952"/>
    </row>
    <row r="33" spans="1:17" ht="20.25" customHeight="1">
      <c r="A33" s="956"/>
      <c r="B33" s="991" t="s">
        <v>35</v>
      </c>
      <c r="C33" s="990"/>
      <c r="D33" s="990"/>
      <c r="E33" s="990"/>
      <c r="F33" s="990"/>
      <c r="G33" s="2082" t="s">
        <v>324</v>
      </c>
      <c r="H33" s="2090"/>
      <c r="I33" s="959"/>
      <c r="J33" s="2122"/>
      <c r="K33" s="2123"/>
      <c r="L33" s="2123"/>
      <c r="M33" s="2123"/>
      <c r="N33" s="2123"/>
      <c r="O33" s="2123"/>
      <c r="P33" s="2124"/>
      <c r="Q33" s="952"/>
    </row>
    <row r="34" spans="1:17" ht="20.25" customHeight="1">
      <c r="A34" s="956"/>
      <c r="B34" s="1031" t="s">
        <v>334</v>
      </c>
      <c r="C34" s="984"/>
      <c r="D34" s="965"/>
      <c r="E34" s="965"/>
      <c r="F34" s="965"/>
      <c r="G34" s="2082" t="s">
        <v>325</v>
      </c>
      <c r="H34" s="2090"/>
      <c r="I34" s="959"/>
      <c r="J34" s="2122"/>
      <c r="K34" s="2123"/>
      <c r="L34" s="2123"/>
      <c r="M34" s="2123"/>
      <c r="N34" s="2123"/>
      <c r="O34" s="2123"/>
      <c r="P34" s="2124"/>
      <c r="Q34" s="952"/>
    </row>
    <row r="35" spans="1:17" ht="20.25" customHeight="1">
      <c r="A35" s="956"/>
      <c r="B35" s="979"/>
      <c r="H35" s="940"/>
      <c r="I35" s="959"/>
      <c r="J35" s="2122"/>
      <c r="K35" s="2123"/>
      <c r="L35" s="2123"/>
      <c r="M35" s="2123"/>
      <c r="N35" s="2123"/>
      <c r="O35" s="2123"/>
      <c r="P35" s="2124"/>
      <c r="Q35" s="952"/>
    </row>
    <row r="36" spans="1:17" ht="20.25" customHeight="1">
      <c r="A36" s="956"/>
      <c r="B36" s="2143"/>
      <c r="C36" s="2144"/>
      <c r="D36" s="2144"/>
      <c r="E36" s="2144"/>
      <c r="F36" s="2144"/>
      <c r="G36" s="2144"/>
      <c r="H36" s="2145"/>
      <c r="I36" s="959"/>
      <c r="J36" s="2122"/>
      <c r="K36" s="2123"/>
      <c r="L36" s="2123"/>
      <c r="M36" s="2123"/>
      <c r="N36" s="2123"/>
      <c r="O36" s="2123"/>
      <c r="P36" s="2124"/>
      <c r="Q36" s="952"/>
    </row>
    <row r="37" spans="1:17" ht="20.25" customHeight="1">
      <c r="A37" s="956"/>
      <c r="B37" s="1027"/>
      <c r="C37" s="1026"/>
      <c r="D37" s="1026"/>
      <c r="E37" s="1026"/>
      <c r="F37" s="1026"/>
      <c r="G37" s="1026"/>
      <c r="H37" s="1025"/>
      <c r="I37" s="959"/>
      <c r="J37" s="2122"/>
      <c r="K37" s="2123"/>
      <c r="L37" s="2123"/>
      <c r="M37" s="2123"/>
      <c r="N37" s="2123"/>
      <c r="O37" s="2123"/>
      <c r="P37" s="2124"/>
      <c r="Q37" s="952"/>
    </row>
    <row r="38" spans="1:17" ht="21" customHeight="1" thickBot="1">
      <c r="A38" s="956"/>
      <c r="B38" s="1024"/>
      <c r="C38" s="1023"/>
      <c r="D38" s="1023"/>
      <c r="E38" s="1023"/>
      <c r="F38" s="1023"/>
      <c r="G38" s="1023"/>
      <c r="H38" s="1022"/>
      <c r="I38" s="959"/>
      <c r="J38" s="2125"/>
      <c r="K38" s="2126"/>
      <c r="L38" s="2126"/>
      <c r="M38" s="2126"/>
      <c r="N38" s="2126"/>
      <c r="O38" s="2126"/>
      <c r="P38" s="2127"/>
      <c r="Q38" s="952"/>
    </row>
    <row r="39" spans="1:17" ht="17.25" customHeight="1" thickBot="1">
      <c r="A39" s="956"/>
      <c r="B39" s="1021"/>
      <c r="C39" s="1020"/>
      <c r="D39" s="1020"/>
      <c r="E39" s="1020"/>
      <c r="F39" s="1020"/>
      <c r="G39" s="1020"/>
      <c r="H39" s="1019"/>
      <c r="I39" s="959"/>
      <c r="J39" s="1018"/>
      <c r="K39" s="1017"/>
      <c r="L39" s="1017"/>
      <c r="M39" s="1017"/>
      <c r="N39" s="1017"/>
      <c r="O39" s="1017"/>
      <c r="P39" s="938"/>
      <c r="Q39" s="952"/>
    </row>
    <row r="40" spans="1:17" ht="31.5" customHeight="1" thickBot="1">
      <c r="A40" s="956"/>
      <c r="B40" s="2087" t="s">
        <v>575</v>
      </c>
      <c r="C40" s="2088"/>
      <c r="D40" s="2088"/>
      <c r="E40" s="2088"/>
      <c r="F40" s="2088"/>
      <c r="G40" s="2088"/>
      <c r="H40" s="2089"/>
      <c r="I40" s="959"/>
      <c r="J40" s="2111" t="s">
        <v>574</v>
      </c>
      <c r="K40" s="2112"/>
      <c r="L40" s="2112"/>
      <c r="M40" s="2112"/>
      <c r="N40" s="2112"/>
      <c r="O40" s="2112"/>
      <c r="P40" s="2113"/>
      <c r="Q40" s="952"/>
    </row>
    <row r="41" spans="1:17" ht="20.25">
      <c r="A41" s="956"/>
      <c r="B41" s="2146" t="s">
        <v>606</v>
      </c>
      <c r="C41" s="2147"/>
      <c r="D41" s="2147"/>
      <c r="E41" s="1016"/>
      <c r="F41" s="2148">
        <v>1995</v>
      </c>
      <c r="G41" s="2148"/>
      <c r="H41" s="2149"/>
      <c r="I41" s="959"/>
      <c r="J41" s="2116" t="s">
        <v>572</v>
      </c>
      <c r="K41" s="2117"/>
      <c r="L41" s="2117"/>
      <c r="M41" s="2117"/>
      <c r="N41" s="2117"/>
      <c r="O41" s="2117"/>
      <c r="P41" s="2118"/>
      <c r="Q41" s="952"/>
    </row>
    <row r="42" spans="1:17" ht="20.25">
      <c r="A42" s="956"/>
      <c r="B42" s="2103"/>
      <c r="C42" s="2104"/>
      <c r="D42" s="2104"/>
      <c r="E42" s="1001"/>
      <c r="F42" s="2105"/>
      <c r="G42" s="2105"/>
      <c r="H42" s="2106"/>
      <c r="I42" s="959"/>
      <c r="J42" s="979"/>
      <c r="P42" s="940"/>
      <c r="Q42" s="952"/>
    </row>
    <row r="43" spans="1:17" ht="20.25">
      <c r="A43" s="956"/>
      <c r="B43" s="2081"/>
      <c r="C43" s="2082"/>
      <c r="D43" s="2082"/>
      <c r="E43" s="1015"/>
      <c r="F43" s="2105"/>
      <c r="G43" s="2105"/>
      <c r="H43" s="2106"/>
      <c r="I43" s="959"/>
      <c r="J43" s="2137" t="s">
        <v>570</v>
      </c>
      <c r="K43" s="2138"/>
      <c r="L43" s="2138"/>
      <c r="M43" s="2138"/>
      <c r="N43" s="2138"/>
      <c r="O43" s="2138"/>
      <c r="P43" s="2139"/>
      <c r="Q43" s="952"/>
    </row>
    <row r="44" spans="1:17" ht="20.25">
      <c r="A44" s="956"/>
      <c r="B44" s="2081" t="s">
        <v>569</v>
      </c>
      <c r="C44" s="2082"/>
      <c r="D44" s="2082"/>
      <c r="E44" s="2082"/>
      <c r="F44" s="2082"/>
      <c r="G44" s="2082"/>
      <c r="H44" s="2090"/>
      <c r="I44" s="959"/>
      <c r="J44" s="2140" t="s">
        <v>568</v>
      </c>
      <c r="K44" s="2141"/>
      <c r="L44" s="2141"/>
      <c r="M44" s="2141"/>
      <c r="N44" s="2141"/>
      <c r="O44" s="2141"/>
      <c r="P44" s="2142"/>
      <c r="Q44" s="952"/>
    </row>
    <row r="45" spans="1:17" ht="20.25">
      <c r="A45" s="956"/>
      <c r="B45" s="2097" t="s">
        <v>567</v>
      </c>
      <c r="C45" s="2098"/>
      <c r="D45" s="2098"/>
      <c r="E45" s="2098"/>
      <c r="F45" s="2098"/>
      <c r="G45" s="2098"/>
      <c r="H45" s="2099"/>
      <c r="I45" s="959"/>
      <c r="J45" s="979"/>
      <c r="P45" s="940"/>
      <c r="Q45" s="952"/>
    </row>
    <row r="46" spans="1:17" ht="20.25">
      <c r="A46" s="956"/>
      <c r="B46" s="994"/>
      <c r="C46" s="988"/>
      <c r="D46" s="959"/>
      <c r="E46" s="959"/>
      <c r="F46" s="1014"/>
      <c r="G46" s="1014"/>
      <c r="H46" s="998"/>
      <c r="I46" s="959"/>
      <c r="J46" s="1010"/>
      <c r="K46" s="1009"/>
      <c r="L46" s="1009"/>
      <c r="M46" s="1009"/>
      <c r="N46" s="1009"/>
      <c r="O46" s="1009"/>
      <c r="P46" s="1008"/>
      <c r="Q46" s="952"/>
    </row>
    <row r="47" spans="1:17" ht="21" thickBot="1">
      <c r="A47" s="956"/>
      <c r="B47" s="1013"/>
      <c r="C47" s="1012"/>
      <c r="D47" s="1012"/>
      <c r="E47" s="1012"/>
      <c r="F47" s="1012"/>
      <c r="G47" s="1012"/>
      <c r="H47" s="1011"/>
      <c r="I47" s="959"/>
      <c r="J47" s="1010"/>
      <c r="K47" s="1009"/>
      <c r="L47" s="1009"/>
      <c r="M47" s="1009"/>
      <c r="N47" s="1009"/>
      <c r="O47" s="1009"/>
      <c r="P47" s="1008"/>
      <c r="Q47" s="952"/>
    </row>
    <row r="48" spans="1:17" ht="31.5" customHeight="1" thickBot="1">
      <c r="A48" s="956"/>
      <c r="B48" s="1007"/>
      <c r="C48" s="1006"/>
      <c r="D48" s="1006"/>
      <c r="E48" s="1006"/>
      <c r="F48" s="1006"/>
      <c r="G48" s="1006"/>
      <c r="H48" s="1005"/>
      <c r="I48" s="999"/>
      <c r="J48" s="1004"/>
      <c r="K48" s="1003"/>
      <c r="L48" s="1003"/>
      <c r="M48" s="1003"/>
      <c r="N48" s="1003"/>
      <c r="O48" s="1003"/>
      <c r="P48" s="1002"/>
      <c r="Q48" s="952"/>
    </row>
    <row r="49" spans="1:17" ht="30.75" customHeight="1" thickBot="1">
      <c r="A49" s="956"/>
      <c r="B49" s="2087" t="s">
        <v>566</v>
      </c>
      <c r="C49" s="2088"/>
      <c r="D49" s="2088"/>
      <c r="E49" s="2088"/>
      <c r="F49" s="2088"/>
      <c r="G49" s="2088"/>
      <c r="H49" s="2089"/>
      <c r="J49" s="979"/>
      <c r="P49" s="940"/>
      <c r="Q49" s="952"/>
    </row>
    <row r="50" spans="1:17" ht="19.5" customHeight="1">
      <c r="A50" s="956"/>
      <c r="B50" s="2100" t="s">
        <v>565</v>
      </c>
      <c r="C50" s="2101"/>
      <c r="D50" s="2101"/>
      <c r="E50" s="2101"/>
      <c r="F50" s="2101"/>
      <c r="G50" s="2101"/>
      <c r="H50" s="2102"/>
      <c r="J50" s="979"/>
      <c r="P50" s="940"/>
      <c r="Q50" s="952"/>
    </row>
    <row r="51" spans="1:17" ht="19.5" customHeight="1">
      <c r="A51" s="956"/>
      <c r="B51" s="2100" t="s">
        <v>564</v>
      </c>
      <c r="C51" s="2101"/>
      <c r="D51" s="2101"/>
      <c r="E51" s="2101"/>
      <c r="F51" s="2101"/>
      <c r="G51" s="2101"/>
      <c r="H51" s="2102"/>
      <c r="J51" s="979"/>
      <c r="P51" s="940"/>
      <c r="Q51" s="952"/>
    </row>
    <row r="52" spans="1:17" ht="20.25">
      <c r="A52" s="956"/>
      <c r="B52" s="2081" t="s">
        <v>563</v>
      </c>
      <c r="C52" s="2082"/>
      <c r="D52" s="1000"/>
      <c r="E52" s="1000"/>
      <c r="F52" s="2083">
        <v>-0.125</v>
      </c>
      <c r="G52" s="2083"/>
      <c r="H52" s="998"/>
      <c r="J52" s="979"/>
      <c r="P52" s="940"/>
      <c r="Q52" s="952"/>
    </row>
    <row r="53" spans="1:17" ht="20.25">
      <c r="A53" s="956"/>
      <c r="B53" s="2081" t="s">
        <v>562</v>
      </c>
      <c r="C53" s="2082"/>
      <c r="D53" s="1000"/>
      <c r="E53" s="1000"/>
      <c r="F53" s="2083">
        <v>-0.25</v>
      </c>
      <c r="G53" s="2083"/>
      <c r="H53" s="998"/>
      <c r="J53" s="979"/>
      <c r="P53" s="940"/>
      <c r="Q53" s="952"/>
    </row>
    <row r="54" spans="1:17" ht="20.25">
      <c r="A54" s="956"/>
      <c r="B54" s="2081" t="s">
        <v>561</v>
      </c>
      <c r="C54" s="2082"/>
      <c r="D54" s="1000"/>
      <c r="E54" s="1000"/>
      <c r="F54" s="2083">
        <v>-0.375</v>
      </c>
      <c r="G54" s="2083"/>
      <c r="H54" s="998"/>
      <c r="J54" s="979"/>
      <c r="P54" s="940"/>
      <c r="Q54" s="952"/>
    </row>
    <row r="55" spans="1:17" ht="20.25">
      <c r="A55" s="956"/>
      <c r="B55" s="2081" t="s">
        <v>560</v>
      </c>
      <c r="C55" s="2082"/>
      <c r="D55" s="959"/>
      <c r="E55" s="959"/>
      <c r="F55" s="2083">
        <v>-0.5</v>
      </c>
      <c r="G55" s="2083"/>
      <c r="H55" s="998"/>
      <c r="J55" s="979"/>
      <c r="P55" s="940"/>
      <c r="Q55" s="952"/>
    </row>
    <row r="56" spans="1:17" ht="20.25" customHeight="1" thickBot="1">
      <c r="A56" s="956"/>
      <c r="B56" s="2084" t="s">
        <v>31</v>
      </c>
      <c r="C56" s="2085"/>
      <c r="D56" s="2085"/>
      <c r="E56" s="2085"/>
      <c r="F56" s="2085"/>
      <c r="G56" s="2085"/>
      <c r="H56" s="2086"/>
      <c r="I56" s="959"/>
      <c r="J56" s="997"/>
      <c r="K56" s="996"/>
      <c r="L56" s="996"/>
      <c r="M56" s="996"/>
      <c r="N56" s="996"/>
      <c r="O56" s="996"/>
      <c r="P56" s="995"/>
      <c r="Q56" s="952"/>
    </row>
    <row r="57" spans="1:17" ht="20.25">
      <c r="A57" s="956"/>
      <c r="B57" s="979"/>
      <c r="D57" s="980"/>
      <c r="E57" s="980"/>
      <c r="F57" s="980"/>
      <c r="G57" s="999"/>
      <c r="H57" s="998"/>
      <c r="I57" s="959"/>
      <c r="J57" s="979"/>
      <c r="P57" s="940"/>
      <c r="Q57" s="952"/>
    </row>
    <row r="58" spans="1:17" ht="32.25" customHeight="1" thickBot="1">
      <c r="A58" s="956"/>
      <c r="B58" s="997"/>
      <c r="C58" s="996"/>
      <c r="D58" s="996"/>
      <c r="E58" s="996"/>
      <c r="F58" s="996"/>
      <c r="G58" s="996"/>
      <c r="H58" s="995"/>
      <c r="I58" s="959"/>
      <c r="J58" s="979"/>
      <c r="P58" s="940"/>
      <c r="Q58" s="952"/>
    </row>
    <row r="59" spans="1:17" ht="31.5" customHeight="1" thickBot="1">
      <c r="A59" s="956"/>
      <c r="B59" s="2087" t="s">
        <v>175</v>
      </c>
      <c r="C59" s="2088"/>
      <c r="D59" s="2088"/>
      <c r="E59" s="2088"/>
      <c r="F59" s="2088"/>
      <c r="G59" s="2088"/>
      <c r="H59" s="2088"/>
      <c r="I59" s="2088"/>
      <c r="J59" s="2088"/>
      <c r="K59" s="2088"/>
      <c r="L59" s="2088"/>
      <c r="M59" s="2088"/>
      <c r="N59" s="2088"/>
      <c r="O59" s="2088"/>
      <c r="P59" s="2089"/>
      <c r="Q59" s="952"/>
    </row>
    <row r="60" spans="1:17" ht="20.25" customHeight="1">
      <c r="A60" s="956"/>
      <c r="B60" s="2072" t="s">
        <v>468</v>
      </c>
      <c r="C60" s="2073"/>
      <c r="D60" s="2073"/>
      <c r="E60" s="2073"/>
      <c r="F60" s="2073"/>
      <c r="G60" s="2073"/>
      <c r="H60" s="2073"/>
      <c r="I60" s="2073"/>
      <c r="J60" s="2073"/>
      <c r="K60" s="2073"/>
      <c r="L60" s="2073"/>
      <c r="M60" s="2073"/>
      <c r="N60" s="2073"/>
      <c r="O60" s="2073"/>
      <c r="P60" s="2074"/>
      <c r="Q60" s="952"/>
    </row>
    <row r="61" spans="1:17" ht="20.25" customHeight="1">
      <c r="A61" s="956"/>
      <c r="B61" s="2081" t="s">
        <v>354</v>
      </c>
      <c r="C61" s="2082"/>
      <c r="D61" s="2082"/>
      <c r="E61" s="2082"/>
      <c r="F61" s="2082"/>
      <c r="G61" s="2082"/>
      <c r="H61" s="2082"/>
      <c r="I61" s="2082"/>
      <c r="J61" s="2082"/>
      <c r="K61" s="2082"/>
      <c r="L61" s="2082"/>
      <c r="M61" s="2082"/>
      <c r="N61" s="2082"/>
      <c r="O61" s="2082"/>
      <c r="P61" s="2090"/>
      <c r="Q61" s="952"/>
    </row>
    <row r="62" spans="1:17" ht="20.25" customHeight="1">
      <c r="A62" s="956"/>
      <c r="B62" s="991"/>
      <c r="C62" s="990"/>
      <c r="D62" s="990"/>
      <c r="E62" s="990"/>
      <c r="F62" s="990"/>
      <c r="G62" s="985"/>
      <c r="H62" s="985"/>
      <c r="I62" s="1012"/>
      <c r="J62" s="983"/>
      <c r="K62" s="983"/>
      <c r="L62" s="983"/>
      <c r="M62" s="983"/>
      <c r="N62" s="983"/>
      <c r="O62" s="983"/>
      <c r="P62" s="982"/>
      <c r="Q62" s="952"/>
    </row>
    <row r="63" spans="1:17" ht="20.25" customHeight="1">
      <c r="A63" s="956"/>
      <c r="B63" s="991" t="s">
        <v>177</v>
      </c>
      <c r="C63" s="990"/>
      <c r="D63" s="990"/>
      <c r="E63" s="990"/>
      <c r="F63" s="990"/>
      <c r="G63" s="985"/>
      <c r="H63" s="985"/>
      <c r="I63" s="1012"/>
      <c r="J63" s="1167"/>
      <c r="K63" s="1167"/>
      <c r="L63" s="1167"/>
      <c r="M63" s="1167"/>
      <c r="N63" s="1167"/>
      <c r="O63" s="1167"/>
      <c r="P63" s="1166"/>
      <c r="Q63" s="952"/>
    </row>
    <row r="64" spans="1:17" ht="20.25" customHeight="1">
      <c r="A64" s="956"/>
      <c r="B64" s="979"/>
      <c r="G64" s="985"/>
      <c r="H64" s="985"/>
      <c r="I64" s="959"/>
      <c r="J64" s="983"/>
      <c r="K64" s="983"/>
      <c r="L64" s="983"/>
      <c r="M64" s="983"/>
      <c r="N64" s="983"/>
      <c r="O64" s="983"/>
      <c r="P64" s="982"/>
      <c r="Q64" s="952"/>
    </row>
    <row r="65" spans="1:17" ht="23.25" customHeight="1" thickBot="1">
      <c r="A65" s="956"/>
      <c r="B65" s="979"/>
      <c r="G65" s="984"/>
      <c r="H65" s="984"/>
      <c r="I65" s="959"/>
      <c r="J65" s="983"/>
      <c r="K65" s="983"/>
      <c r="L65" s="983"/>
      <c r="M65" s="983"/>
      <c r="N65" s="983"/>
      <c r="O65" s="983"/>
      <c r="P65" s="982"/>
      <c r="Q65" s="952"/>
    </row>
    <row r="66" spans="1:17">
      <c r="A66" s="956"/>
      <c r="B66" s="981"/>
      <c r="C66" s="980"/>
      <c r="D66" s="980"/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43"/>
      <c r="Q66" s="952"/>
    </row>
    <row r="67" spans="1:17" ht="19.5" customHeight="1">
      <c r="A67" s="956"/>
      <c r="B67" s="979"/>
      <c r="P67" s="940"/>
      <c r="Q67" s="952"/>
    </row>
    <row r="68" spans="1:17" ht="22.5" customHeight="1">
      <c r="A68" s="956"/>
      <c r="B68" s="979"/>
      <c r="P68" s="940"/>
      <c r="Q68" s="952"/>
    </row>
    <row r="69" spans="1:17">
      <c r="A69" s="956"/>
      <c r="B69" s="979"/>
      <c r="P69" s="940"/>
      <c r="Q69" s="952"/>
    </row>
    <row r="70" spans="1:17">
      <c r="A70" s="956"/>
      <c r="B70" s="979"/>
      <c r="P70" s="940"/>
      <c r="Q70" s="952"/>
    </row>
    <row r="71" spans="1:17">
      <c r="A71" s="956"/>
      <c r="B71" s="979"/>
      <c r="P71" s="940"/>
      <c r="Q71" s="952"/>
    </row>
    <row r="72" spans="1:17" ht="40.5" customHeight="1">
      <c r="A72" s="956"/>
      <c r="B72" s="978"/>
      <c r="C72" s="970"/>
      <c r="D72" s="970"/>
      <c r="E72" s="970"/>
      <c r="F72" s="970"/>
      <c r="G72" s="970"/>
      <c r="H72" s="970"/>
      <c r="I72" s="959"/>
      <c r="J72" s="974"/>
      <c r="K72" s="974"/>
      <c r="L72" s="974"/>
      <c r="M72" s="974"/>
      <c r="N72" s="974"/>
      <c r="O72" s="974"/>
      <c r="P72" s="973"/>
      <c r="Q72" s="952"/>
    </row>
    <row r="73" spans="1:17" ht="20.25">
      <c r="A73" s="956"/>
      <c r="B73" s="977"/>
      <c r="C73" s="976"/>
      <c r="D73" s="959"/>
      <c r="E73" s="959"/>
      <c r="F73" s="975"/>
      <c r="G73" s="959"/>
      <c r="H73" s="959"/>
      <c r="I73" s="959"/>
      <c r="J73" s="974"/>
      <c r="K73" s="974"/>
      <c r="L73" s="974"/>
      <c r="M73" s="974"/>
      <c r="N73" s="974"/>
      <c r="O73" s="974"/>
      <c r="P73" s="973"/>
      <c r="Q73" s="952"/>
    </row>
    <row r="74" spans="1:17" ht="20.25">
      <c r="A74" s="956"/>
      <c r="B74" s="972"/>
      <c r="C74" s="965"/>
      <c r="D74" s="971"/>
      <c r="E74" s="971"/>
      <c r="F74" s="971"/>
      <c r="G74" s="971"/>
      <c r="H74" s="971"/>
      <c r="I74" s="959"/>
      <c r="J74" s="970"/>
      <c r="K74" s="935"/>
      <c r="L74" s="935"/>
      <c r="M74" s="935"/>
      <c r="N74" s="935"/>
      <c r="O74" s="935"/>
      <c r="P74" s="969"/>
      <c r="Q74" s="952"/>
    </row>
    <row r="75" spans="1:17" ht="20.25">
      <c r="A75" s="956"/>
      <c r="B75" s="966"/>
      <c r="C75" s="959"/>
      <c r="D75" s="959"/>
      <c r="E75" s="959"/>
      <c r="F75" s="959"/>
      <c r="G75" s="959"/>
      <c r="H75" s="959"/>
      <c r="I75" s="959"/>
      <c r="J75" s="935"/>
      <c r="K75" s="935"/>
      <c r="L75" s="935"/>
      <c r="M75" s="935"/>
      <c r="N75" s="935"/>
      <c r="O75" s="935"/>
      <c r="P75" s="969"/>
      <c r="Q75" s="952"/>
    </row>
    <row r="76" spans="1:17" ht="20.25">
      <c r="A76" s="956"/>
      <c r="B76" s="966"/>
      <c r="D76" s="959"/>
      <c r="E76" s="959"/>
      <c r="F76" s="959"/>
      <c r="G76" s="959"/>
      <c r="H76" s="959"/>
      <c r="I76" s="959"/>
      <c r="P76" s="940"/>
      <c r="Q76" s="952"/>
    </row>
    <row r="77" spans="1:17" ht="20.25" customHeight="1">
      <c r="A77" s="956"/>
      <c r="B77" s="966"/>
      <c r="C77" s="959"/>
      <c r="D77" s="959"/>
      <c r="E77" s="959"/>
      <c r="F77" s="959"/>
      <c r="G77" s="959"/>
      <c r="H77" s="959"/>
      <c r="I77" s="959"/>
      <c r="J77" s="960"/>
      <c r="N77" s="958"/>
      <c r="O77" s="958"/>
      <c r="P77" s="957"/>
      <c r="Q77" s="952"/>
    </row>
    <row r="78" spans="1:17" ht="20.25">
      <c r="A78" s="956"/>
      <c r="B78" s="968"/>
      <c r="C78" s="967"/>
      <c r="D78" s="967"/>
      <c r="E78" s="967"/>
      <c r="F78" s="967"/>
      <c r="G78" s="967"/>
      <c r="H78" s="967"/>
      <c r="I78" s="959"/>
      <c r="J78" s="960"/>
      <c r="K78" s="959"/>
      <c r="L78" s="959"/>
      <c r="M78" s="959"/>
      <c r="N78" s="958"/>
      <c r="O78" s="958"/>
      <c r="P78" s="957"/>
      <c r="Q78" s="952"/>
    </row>
    <row r="79" spans="1:17" ht="20.25" customHeight="1">
      <c r="A79" s="956"/>
      <c r="B79" s="968"/>
      <c r="C79" s="967"/>
      <c r="D79" s="967"/>
      <c r="E79" s="967"/>
      <c r="F79" s="967"/>
      <c r="G79" s="967"/>
      <c r="H79" s="967"/>
      <c r="I79" s="959"/>
      <c r="J79" s="960"/>
      <c r="K79" s="965"/>
      <c r="L79" s="965"/>
      <c r="M79" s="959"/>
      <c r="N79" s="958"/>
      <c r="O79" s="958"/>
      <c r="P79" s="957"/>
      <c r="Q79" s="952"/>
    </row>
    <row r="80" spans="1:17" ht="20.25">
      <c r="A80" s="956"/>
      <c r="B80" s="966"/>
      <c r="C80" s="959"/>
      <c r="D80" s="959"/>
      <c r="E80" s="959"/>
      <c r="F80" s="959"/>
      <c r="G80" s="959"/>
      <c r="H80" s="959"/>
      <c r="I80" s="959"/>
      <c r="J80" s="960"/>
      <c r="K80" s="965"/>
      <c r="L80" s="965"/>
      <c r="M80" s="959"/>
      <c r="N80" s="958"/>
      <c r="O80" s="958"/>
      <c r="P80" s="957"/>
      <c r="Q80" s="952"/>
    </row>
    <row r="81" spans="1:17" ht="20.25">
      <c r="A81" s="956"/>
      <c r="B81" s="963"/>
      <c r="C81" s="962"/>
      <c r="D81" s="962"/>
      <c r="E81" s="959"/>
      <c r="F81" s="959"/>
      <c r="G81" s="964"/>
      <c r="H81" s="959"/>
      <c r="I81" s="959"/>
      <c r="J81" s="960"/>
      <c r="K81" s="965"/>
      <c r="L81" s="965"/>
      <c r="M81" s="959"/>
      <c r="N81" s="958"/>
      <c r="O81" s="958"/>
      <c r="P81" s="957"/>
      <c r="Q81" s="952"/>
    </row>
    <row r="82" spans="1:17" ht="20.25">
      <c r="A82" s="956"/>
      <c r="B82" s="963"/>
      <c r="C82" s="962"/>
      <c r="D82" s="962"/>
      <c r="E82" s="959"/>
      <c r="F82" s="959"/>
      <c r="G82" s="964"/>
      <c r="H82" s="959"/>
      <c r="I82" s="959"/>
      <c r="J82" s="960"/>
      <c r="K82" s="959"/>
      <c r="L82" s="959"/>
      <c r="M82" s="959"/>
      <c r="N82" s="958"/>
      <c r="O82" s="958"/>
      <c r="P82" s="957"/>
      <c r="Q82" s="952"/>
    </row>
    <row r="83" spans="1:17" ht="20.25">
      <c r="A83" s="956"/>
      <c r="B83" s="963"/>
      <c r="C83" s="962"/>
      <c r="D83" s="962"/>
      <c r="E83" s="959"/>
      <c r="F83" s="959"/>
      <c r="G83" s="961"/>
      <c r="H83" s="959"/>
      <c r="I83" s="959"/>
      <c r="J83" s="960"/>
      <c r="K83" s="959"/>
      <c r="L83" s="959"/>
      <c r="M83" s="959"/>
      <c r="N83" s="958"/>
      <c r="O83" s="958"/>
      <c r="P83" s="957"/>
      <c r="Q83" s="952"/>
    </row>
    <row r="84" spans="1:17" ht="20.25" customHeight="1" thickBot="1">
      <c r="A84" s="956"/>
      <c r="B84" s="955"/>
      <c r="C84" s="954"/>
      <c r="D84" s="954"/>
      <c r="E84" s="947"/>
      <c r="F84" s="947"/>
      <c r="G84" s="947"/>
      <c r="H84" s="947"/>
      <c r="I84" s="947"/>
      <c r="J84" s="947"/>
      <c r="K84" s="947"/>
      <c r="L84" s="947"/>
      <c r="M84" s="947"/>
      <c r="N84" s="947"/>
      <c r="O84" s="947"/>
      <c r="P84" s="953"/>
      <c r="Q84" s="952"/>
    </row>
    <row r="85" spans="1:17" s="936" customFormat="1" ht="15.75" thickBot="1">
      <c r="A85" s="942"/>
      <c r="B85" s="942"/>
      <c r="C85" s="937"/>
      <c r="D85" s="937"/>
      <c r="E85" s="937"/>
      <c r="F85" s="937"/>
      <c r="G85" s="937"/>
      <c r="H85" s="937"/>
      <c r="I85" s="937"/>
      <c r="J85" s="937"/>
      <c r="K85" s="937"/>
      <c r="L85" s="937"/>
      <c r="M85" s="937"/>
      <c r="N85" s="937"/>
      <c r="O85" s="937"/>
      <c r="P85" s="949"/>
      <c r="Q85" s="949"/>
    </row>
    <row r="86" spans="1:17" s="936" customFormat="1">
      <c r="A86" s="942"/>
      <c r="B86" s="1748" t="s">
        <v>559</v>
      </c>
      <c r="C86" s="1749"/>
      <c r="D86" s="1749"/>
      <c r="E86" s="1749"/>
      <c r="F86" s="1749"/>
      <c r="G86" s="1749"/>
      <c r="H86" s="1749"/>
      <c r="I86" s="1749"/>
      <c r="J86" s="1749"/>
      <c r="K86" s="1749"/>
      <c r="L86" s="1749"/>
      <c r="M86" s="1749"/>
      <c r="N86" s="1749"/>
      <c r="O86" s="1749"/>
      <c r="P86" s="1750"/>
      <c r="Q86" s="949"/>
    </row>
    <row r="87" spans="1:17" s="936" customFormat="1" ht="15.75" thickBot="1">
      <c r="A87" s="942"/>
      <c r="B87" s="1751"/>
      <c r="C87" s="1752"/>
      <c r="D87" s="1752"/>
      <c r="E87" s="1752"/>
      <c r="F87" s="1752"/>
      <c r="G87" s="1752"/>
      <c r="H87" s="1752"/>
      <c r="I87" s="1752"/>
      <c r="J87" s="1752"/>
      <c r="K87" s="1752"/>
      <c r="L87" s="1752"/>
      <c r="M87" s="1752"/>
      <c r="N87" s="1752"/>
      <c r="O87" s="1752"/>
      <c r="P87" s="1753"/>
      <c r="Q87" s="949"/>
    </row>
    <row r="88" spans="1:17" s="936" customFormat="1" ht="21" customHeight="1">
      <c r="A88" s="942"/>
      <c r="B88" s="2072" t="s">
        <v>179</v>
      </c>
      <c r="C88" s="2073"/>
      <c r="D88" s="2073"/>
      <c r="E88" s="2073"/>
      <c r="F88" s="2073"/>
      <c r="G88" s="2073"/>
      <c r="H88" s="2073"/>
      <c r="I88" s="2073"/>
      <c r="J88" s="2073"/>
      <c r="K88" s="2073"/>
      <c r="L88" s="2073"/>
      <c r="M88" s="2073"/>
      <c r="N88" s="2073"/>
      <c r="O88" s="2073"/>
      <c r="P88" s="2074"/>
      <c r="Q88" s="949"/>
    </row>
    <row r="89" spans="1:17" s="936" customFormat="1" ht="21" customHeight="1" thickBot="1">
      <c r="A89" s="942"/>
      <c r="B89" s="2075" t="s">
        <v>180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49"/>
    </row>
    <row r="90" spans="1:17" s="936" customFormat="1">
      <c r="A90" s="942"/>
      <c r="B90" s="942"/>
      <c r="C90" s="937"/>
      <c r="D90" s="937"/>
      <c r="E90" s="937"/>
      <c r="F90" s="937"/>
      <c r="G90" s="937"/>
      <c r="H90" s="937"/>
      <c r="I90" s="937"/>
      <c r="J90" s="937"/>
      <c r="K90" s="937"/>
      <c r="L90" s="937"/>
      <c r="M90" s="937"/>
      <c r="N90" s="937"/>
      <c r="O90" s="937"/>
      <c r="P90" s="949"/>
      <c r="Q90" s="949"/>
    </row>
    <row r="91" spans="1:17" s="936" customFormat="1">
      <c r="A91" s="942"/>
      <c r="B91" s="942"/>
      <c r="C91" s="937"/>
      <c r="D91" s="937"/>
      <c r="E91" s="937"/>
      <c r="F91" s="937"/>
      <c r="G91" s="937"/>
      <c r="H91" s="937"/>
      <c r="I91" s="937"/>
      <c r="J91" s="937"/>
      <c r="K91" s="937"/>
      <c r="L91" s="937"/>
      <c r="M91" s="937"/>
      <c r="N91" s="937"/>
      <c r="O91" s="937"/>
      <c r="P91" s="949"/>
      <c r="Q91" s="949"/>
    </row>
    <row r="92" spans="1:17" s="936" customFormat="1">
      <c r="A92" s="942"/>
      <c r="B92" s="942"/>
      <c r="C92" s="937"/>
      <c r="D92" s="937"/>
      <c r="E92" s="937"/>
      <c r="F92" s="937"/>
      <c r="G92" s="937"/>
      <c r="H92" s="937"/>
      <c r="I92" s="937"/>
      <c r="J92" s="937"/>
      <c r="K92" s="937"/>
      <c r="L92" s="937"/>
      <c r="M92" s="937"/>
      <c r="N92" s="937"/>
      <c r="O92" s="937"/>
      <c r="P92" s="949"/>
      <c r="Q92" s="949"/>
    </row>
    <row r="93" spans="1:17" s="936" customFormat="1">
      <c r="A93" s="942"/>
      <c r="B93" s="942"/>
      <c r="C93" s="937"/>
      <c r="D93" s="937"/>
      <c r="E93" s="937"/>
      <c r="F93" s="937"/>
      <c r="G93" s="937"/>
      <c r="H93" s="937"/>
      <c r="I93" s="937"/>
      <c r="J93" s="937"/>
      <c r="K93" s="937"/>
      <c r="L93" s="937"/>
      <c r="M93" s="937"/>
      <c r="N93" s="937"/>
      <c r="O93" s="937"/>
      <c r="P93" s="949"/>
      <c r="Q93" s="949"/>
    </row>
    <row r="94" spans="1:17" s="936" customFormat="1">
      <c r="A94" s="942"/>
      <c r="B94" s="942"/>
      <c r="C94" s="937"/>
      <c r="D94" s="937"/>
      <c r="E94" s="937"/>
      <c r="F94" s="937"/>
      <c r="G94" s="937"/>
      <c r="H94" s="937"/>
      <c r="I94" s="937"/>
      <c r="J94" s="937"/>
      <c r="K94" s="937"/>
      <c r="L94" s="937"/>
      <c r="M94" s="937"/>
      <c r="N94" s="937"/>
      <c r="O94" s="937"/>
      <c r="P94" s="949"/>
      <c r="Q94" s="949"/>
    </row>
    <row r="95" spans="1:17" s="936" customFormat="1">
      <c r="A95" s="942"/>
      <c r="B95" s="942"/>
      <c r="C95" s="937"/>
      <c r="D95" s="937"/>
      <c r="E95" s="937"/>
      <c r="F95" s="937"/>
      <c r="G95" s="937"/>
      <c r="H95" s="937"/>
      <c r="I95" s="937"/>
      <c r="J95" s="937"/>
      <c r="K95" s="937"/>
      <c r="L95" s="937"/>
      <c r="M95" s="937"/>
      <c r="N95" s="937"/>
      <c r="O95" s="937"/>
      <c r="P95" s="949"/>
      <c r="Q95" s="949"/>
    </row>
    <row r="96" spans="1:17" s="936" customFormat="1">
      <c r="A96" s="942"/>
      <c r="B96" s="942"/>
      <c r="C96" s="937"/>
      <c r="D96" s="937"/>
      <c r="E96" s="937"/>
      <c r="F96" s="937"/>
      <c r="G96" s="937"/>
      <c r="H96" s="937"/>
      <c r="I96" s="937"/>
      <c r="J96" s="937"/>
      <c r="K96" s="937"/>
      <c r="L96" s="937"/>
      <c r="M96" s="937"/>
      <c r="N96" s="937"/>
      <c r="O96" s="937"/>
      <c r="P96" s="949"/>
      <c r="Q96" s="949"/>
    </row>
    <row r="97" spans="1:17" s="936" customFormat="1" ht="15.75" thickBot="1">
      <c r="A97" s="942"/>
      <c r="B97" s="939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0"/>
      <c r="Q97" s="949"/>
    </row>
    <row r="98" spans="1:17" ht="21" thickBot="1">
      <c r="A98" s="948"/>
      <c r="B98" s="947"/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6"/>
    </row>
    <row r="99" spans="1:17" ht="15" customHeight="1">
      <c r="A99" s="945"/>
      <c r="B99" s="2078" t="s">
        <v>181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43"/>
    </row>
    <row r="100" spans="1:17">
      <c r="A100" s="942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40"/>
    </row>
    <row r="101" spans="1:17">
      <c r="A101" s="942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40"/>
    </row>
    <row r="102" spans="1:17" ht="15.75" thickBot="1">
      <c r="A102" s="939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38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37" customWidth="1"/>
    <col min="2" max="2" width="17.7109375" style="936" customWidth="1"/>
    <col min="3" max="4" width="13.7109375" style="936" customWidth="1"/>
    <col min="5" max="5" width="1.5703125" style="936" customWidth="1"/>
    <col min="6" max="6" width="13.85546875" style="936" customWidth="1"/>
    <col min="7" max="8" width="13.7109375" style="936" customWidth="1"/>
    <col min="9" max="9" width="1.5703125" style="936" customWidth="1"/>
    <col min="10" max="11" width="13.7109375" style="936" customWidth="1"/>
    <col min="12" max="12" width="16.5703125" style="936" customWidth="1"/>
    <col min="13" max="13" width="1.42578125" style="936" customWidth="1"/>
    <col min="14" max="16" width="13.7109375" style="936" customWidth="1"/>
    <col min="17" max="17" width="2" style="936" customWidth="1"/>
    <col min="18" max="16384" width="9.140625" style="935"/>
  </cols>
  <sheetData>
    <row r="1" spans="1:17">
      <c r="A1" s="1078" t="s">
        <v>582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6"/>
    </row>
    <row r="2" spans="1:17">
      <c r="A2" s="1060"/>
      <c r="B2" s="1061"/>
      <c r="C2" s="1058"/>
      <c r="D2" s="1074"/>
      <c r="E2" s="1074"/>
      <c r="F2" s="1058"/>
      <c r="G2" s="1058"/>
      <c r="H2" s="1058"/>
      <c r="I2" s="1058"/>
      <c r="J2" s="1058"/>
      <c r="K2" s="1058"/>
      <c r="L2" s="2107" t="s">
        <v>329</v>
      </c>
      <c r="M2" s="2107"/>
      <c r="N2" s="2107"/>
      <c r="O2" s="2108">
        <f ca="1">NOW()</f>
        <v>46223.360261689813</v>
      </c>
      <c r="P2" s="2108"/>
      <c r="Q2" s="1075"/>
    </row>
    <row r="3" spans="1:17">
      <c r="A3" s="1060"/>
      <c r="B3" s="1061"/>
      <c r="C3" s="1074"/>
      <c r="D3" s="1073"/>
      <c r="E3" s="1063"/>
      <c r="F3" s="1058"/>
      <c r="G3" s="1058"/>
      <c r="H3" s="1058"/>
      <c r="I3" s="1058"/>
      <c r="J3" s="1058"/>
      <c r="K3" s="1058"/>
      <c r="L3" s="1059"/>
      <c r="M3" s="1061"/>
      <c r="N3" s="2108"/>
      <c r="O3" s="2108"/>
      <c r="P3" s="1072" t="s">
        <v>581</v>
      </c>
      <c r="Q3" s="1068"/>
    </row>
    <row r="4" spans="1:17">
      <c r="A4" s="1060"/>
      <c r="B4" s="1061"/>
      <c r="C4" s="1061"/>
      <c r="D4" s="1066"/>
      <c r="E4" s="1063"/>
      <c r="F4" s="1058"/>
      <c r="G4" s="1058"/>
      <c r="H4" s="1058"/>
      <c r="I4" s="1058"/>
      <c r="J4" s="1058"/>
      <c r="K4" s="1058"/>
      <c r="L4" s="1058"/>
      <c r="M4" s="1061"/>
      <c r="N4" s="1061"/>
      <c r="O4" s="2107"/>
      <c r="P4" s="2107"/>
      <c r="Q4" s="1068"/>
    </row>
    <row r="5" spans="1:17" ht="15.75">
      <c r="A5" s="1060"/>
      <c r="B5" s="1071"/>
      <c r="C5" s="1070"/>
      <c r="D5" s="1069"/>
      <c r="E5" s="1063"/>
      <c r="F5" s="1058"/>
      <c r="G5" s="1058"/>
      <c r="H5" s="1058"/>
      <c r="I5" s="1058"/>
      <c r="J5" s="1058"/>
      <c r="K5" s="1058"/>
      <c r="L5" s="1058"/>
      <c r="M5" s="1059"/>
      <c r="N5" s="1059"/>
      <c r="O5" s="2109"/>
      <c r="P5" s="2109"/>
      <c r="Q5" s="1068"/>
    </row>
    <row r="6" spans="1:17">
      <c r="A6" s="1067"/>
      <c r="B6" s="1066"/>
      <c r="C6" s="1066"/>
      <c r="D6" s="1058"/>
      <c r="E6" s="1063"/>
      <c r="F6" s="1058"/>
      <c r="G6" s="1058"/>
      <c r="H6" s="1058"/>
      <c r="I6" s="1058"/>
      <c r="J6" s="1058"/>
      <c r="K6" s="1058"/>
      <c r="L6" s="1058"/>
      <c r="M6" s="1059"/>
      <c r="N6" s="2131"/>
      <c r="O6" s="2132"/>
      <c r="P6" s="2132"/>
      <c r="Q6" s="1065"/>
    </row>
    <row r="7" spans="1:17">
      <c r="A7" s="1060"/>
      <c r="B7" s="1064"/>
      <c r="C7" s="1059"/>
      <c r="D7" s="1064"/>
      <c r="E7" s="1063"/>
      <c r="F7" s="1058"/>
      <c r="G7" s="1058"/>
      <c r="H7" s="1058"/>
      <c r="I7" s="1058"/>
      <c r="J7" s="1058"/>
      <c r="K7" s="1058"/>
      <c r="L7" s="1058"/>
      <c r="M7" s="1058"/>
      <c r="N7" s="2133"/>
      <c r="O7" s="2133"/>
      <c r="P7" s="2133"/>
      <c r="Q7" s="1056"/>
    </row>
    <row r="8" spans="1:17">
      <c r="A8" s="1060"/>
      <c r="B8" s="1064"/>
      <c r="C8" s="1059"/>
      <c r="D8" s="1064"/>
      <c r="E8" s="1063"/>
      <c r="F8" s="1058"/>
      <c r="G8" s="1058"/>
      <c r="H8" s="1058"/>
      <c r="I8" s="1058"/>
      <c r="J8" s="1058"/>
      <c r="K8" s="1058"/>
      <c r="L8" s="1059"/>
      <c r="M8" s="1059"/>
      <c r="N8" s="2133"/>
      <c r="O8" s="2133"/>
      <c r="P8" s="2133"/>
      <c r="Q8" s="1056"/>
    </row>
    <row r="9" spans="1:17">
      <c r="A9" s="1060"/>
      <c r="B9" s="1064"/>
      <c r="C9" s="1059"/>
      <c r="D9" s="1064"/>
      <c r="E9" s="1063"/>
      <c r="F9" s="1058"/>
      <c r="G9" s="1058"/>
      <c r="H9" s="1058"/>
      <c r="I9" s="1058"/>
      <c r="J9" s="1058"/>
      <c r="K9" s="1058"/>
      <c r="L9" s="1059"/>
      <c r="M9" s="1059"/>
      <c r="N9" s="1062"/>
      <c r="O9" s="1061"/>
      <c r="P9" s="1057"/>
      <c r="Q9" s="1056"/>
    </row>
    <row r="10" spans="1:17">
      <c r="A10" s="1060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3"/>
      <c r="N10" s="1058"/>
      <c r="O10" s="1058"/>
      <c r="P10" s="1057"/>
      <c r="Q10" s="1056"/>
    </row>
    <row r="11" spans="1:17">
      <c r="A11" s="1055"/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3"/>
      <c r="Q11" s="1052"/>
    </row>
    <row r="12" spans="1:17" ht="15" customHeight="1">
      <c r="A12" s="2111" t="s">
        <v>620</v>
      </c>
      <c r="B12" s="2112"/>
      <c r="C12" s="2112"/>
      <c r="D12" s="2112"/>
      <c r="E12" s="2112"/>
      <c r="F12" s="2112"/>
      <c r="G12" s="2112"/>
      <c r="H12" s="2112"/>
      <c r="I12" s="2112"/>
      <c r="J12" s="2112"/>
      <c r="K12" s="2112"/>
      <c r="L12" s="2112"/>
      <c r="M12" s="2112"/>
      <c r="N12" s="2112"/>
      <c r="O12" s="2112"/>
      <c r="P12" s="2112"/>
      <c r="Q12" s="2113"/>
    </row>
    <row r="13" spans="1:17" ht="15.75" customHeight="1" thickBot="1">
      <c r="A13" s="2134"/>
      <c r="B13" s="2135"/>
      <c r="C13" s="2135"/>
      <c r="D13" s="2135"/>
      <c r="E13" s="2135"/>
      <c r="F13" s="2135"/>
      <c r="G13" s="2135"/>
      <c r="H13" s="2135"/>
      <c r="I13" s="2135"/>
      <c r="J13" s="2135"/>
      <c r="K13" s="2135"/>
      <c r="L13" s="2135"/>
      <c r="M13" s="2135"/>
      <c r="N13" s="2135"/>
      <c r="O13" s="2135"/>
      <c r="P13" s="2135"/>
      <c r="Q13" s="2136"/>
    </row>
    <row r="14" spans="1:17">
      <c r="A14" s="956"/>
      <c r="B14" s="1051"/>
      <c r="C14" s="1051"/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952"/>
    </row>
    <row r="15" spans="1:17" ht="15" customHeight="1">
      <c r="A15" s="956"/>
      <c r="B15" s="1050" t="s">
        <v>580</v>
      </c>
      <c r="C15" s="1049"/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8"/>
      <c r="Q15" s="952"/>
    </row>
    <row r="16" spans="1:17" ht="15" customHeight="1">
      <c r="A16" s="956"/>
      <c r="B16" s="1038"/>
      <c r="C16" s="1033"/>
      <c r="D16" s="1033"/>
      <c r="E16" s="1033"/>
      <c r="F16" s="1033"/>
      <c r="G16" s="1033"/>
      <c r="H16" s="1033"/>
      <c r="I16" s="1033"/>
      <c r="J16" s="2110"/>
      <c r="K16" s="2110"/>
      <c r="L16" s="1033"/>
      <c r="M16" s="1033"/>
      <c r="N16" s="1033"/>
      <c r="O16" s="1033"/>
      <c r="P16" s="1037"/>
      <c r="Q16" s="952"/>
    </row>
    <row r="17" spans="1:17" ht="15" customHeight="1">
      <c r="A17" s="956"/>
      <c r="B17" s="1038"/>
      <c r="C17" s="1033"/>
      <c r="D17" s="1033"/>
      <c r="E17" s="1033"/>
      <c r="F17" s="1033"/>
      <c r="G17" s="1033"/>
      <c r="H17" s="1033"/>
      <c r="I17" s="1033"/>
      <c r="J17" s="988"/>
      <c r="K17" s="1043"/>
      <c r="L17" s="1042"/>
      <c r="M17" s="1033"/>
      <c r="N17" s="1041"/>
      <c r="O17" s="1040"/>
      <c r="P17" s="1039"/>
      <c r="Q17" s="952"/>
    </row>
    <row r="18" spans="1:17" ht="15" customHeight="1">
      <c r="A18" s="956"/>
      <c r="B18" s="1038"/>
      <c r="C18" s="1033"/>
      <c r="D18" s="1033"/>
      <c r="E18" s="1033"/>
      <c r="F18" s="1033"/>
      <c r="G18" s="1033"/>
      <c r="H18" s="1033"/>
      <c r="I18" s="1033"/>
      <c r="J18" s="2110"/>
      <c r="K18" s="2110"/>
      <c r="L18" s="1047"/>
      <c r="M18" s="1045"/>
      <c r="N18" s="1040"/>
      <c r="O18" s="1045"/>
      <c r="P18" s="1044"/>
      <c r="Q18" s="952"/>
    </row>
    <row r="19" spans="1:17" ht="15" customHeight="1">
      <c r="A19" s="956"/>
      <c r="B19" s="1038"/>
      <c r="C19" s="1033"/>
      <c r="D19" s="1033"/>
      <c r="E19" s="1033"/>
      <c r="F19" s="1033"/>
      <c r="G19" s="1033"/>
      <c r="H19" s="1033"/>
      <c r="I19" s="1033"/>
      <c r="J19" s="988"/>
      <c r="K19" s="1043"/>
      <c r="L19" s="1042"/>
      <c r="M19" s="1033"/>
      <c r="N19" s="1041"/>
      <c r="O19" s="1040"/>
      <c r="P19" s="1039"/>
      <c r="Q19" s="952"/>
    </row>
    <row r="20" spans="1:17" ht="15" customHeight="1">
      <c r="A20" s="956"/>
      <c r="B20" s="1038"/>
      <c r="C20" s="1033"/>
      <c r="D20" s="1033"/>
      <c r="E20" s="1033"/>
      <c r="F20" s="1033"/>
      <c r="G20" s="1033"/>
      <c r="H20" s="1033"/>
      <c r="I20" s="1033"/>
      <c r="J20" s="2110"/>
      <c r="K20" s="2110"/>
      <c r="L20" s="1042"/>
      <c r="M20" s="1045"/>
      <c r="N20" s="1042"/>
      <c r="O20" s="1045"/>
      <c r="P20" s="1044"/>
      <c r="Q20" s="952"/>
    </row>
    <row r="21" spans="1:17" ht="15" customHeight="1">
      <c r="A21" s="956"/>
      <c r="B21" s="1038"/>
      <c r="C21" s="1033"/>
      <c r="D21" s="1033"/>
      <c r="E21" s="1033"/>
      <c r="F21" s="1033"/>
      <c r="G21" s="1033"/>
      <c r="H21" s="1033"/>
      <c r="I21" s="1033"/>
      <c r="J21" s="988"/>
      <c r="K21" s="1043"/>
      <c r="L21" s="1042"/>
      <c r="M21" s="1033"/>
      <c r="N21" s="1041"/>
      <c r="O21" s="1040"/>
      <c r="P21" s="1039"/>
      <c r="Q21" s="952"/>
    </row>
    <row r="22" spans="1:17" ht="14.25" customHeight="1">
      <c r="A22" s="956"/>
      <c r="B22" s="1038"/>
      <c r="C22" s="1033"/>
      <c r="D22" s="1033"/>
      <c r="E22" s="1033"/>
      <c r="F22" s="1033"/>
      <c r="G22" s="1033"/>
      <c r="H22" s="1033"/>
      <c r="I22" s="1033"/>
      <c r="J22" s="2110"/>
      <c r="K22" s="2110"/>
      <c r="L22" s="1045"/>
      <c r="M22" s="1045"/>
      <c r="N22" s="1046"/>
      <c r="O22" s="1045"/>
      <c r="P22" s="1044"/>
      <c r="Q22" s="952"/>
    </row>
    <row r="23" spans="1:17" ht="15" customHeight="1">
      <c r="A23" s="956"/>
      <c r="B23" s="1038"/>
      <c r="C23" s="1033"/>
      <c r="D23" s="1033"/>
      <c r="E23" s="1033"/>
      <c r="F23" s="1033"/>
      <c r="G23" s="1033"/>
      <c r="H23" s="1033"/>
      <c r="I23" s="1033"/>
      <c r="J23" s="988"/>
      <c r="K23" s="1043"/>
      <c r="L23" s="1042"/>
      <c r="M23" s="1033"/>
      <c r="N23" s="1041"/>
      <c r="O23" s="1040"/>
      <c r="P23" s="1039"/>
      <c r="Q23" s="952"/>
    </row>
    <row r="24" spans="1:17" ht="15" customHeight="1">
      <c r="A24" s="956"/>
      <c r="B24" s="1038"/>
      <c r="C24" s="1033"/>
      <c r="D24" s="1033"/>
      <c r="E24" s="1033"/>
      <c r="F24" s="1033"/>
      <c r="G24" s="1033"/>
      <c r="H24" s="1033"/>
      <c r="I24" s="1033"/>
      <c r="J24" s="1033"/>
      <c r="K24" s="1033"/>
      <c r="L24" s="1033" t="s">
        <v>579</v>
      </c>
      <c r="M24" s="1033"/>
      <c r="N24" s="1033"/>
      <c r="O24" s="1033"/>
      <c r="P24" s="1037"/>
      <c r="Q24" s="952"/>
    </row>
    <row r="25" spans="1:17" ht="15" customHeight="1">
      <c r="A25" s="956"/>
      <c r="B25" s="1038"/>
      <c r="C25" s="1033"/>
      <c r="D25" s="1033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7"/>
      <c r="Q25" s="952"/>
    </row>
    <row r="26" spans="1:17" ht="15" customHeight="1">
      <c r="A26" s="956"/>
      <c r="B26" s="1038"/>
      <c r="C26" s="1033"/>
      <c r="D26" s="1033"/>
      <c r="E26" s="1033"/>
      <c r="F26" s="1033"/>
      <c r="G26" s="1033"/>
      <c r="H26" s="1033"/>
      <c r="I26" s="1033"/>
      <c r="J26" s="1033"/>
      <c r="K26" s="1033"/>
      <c r="L26" s="1033"/>
      <c r="M26" s="1033"/>
      <c r="N26" s="1033"/>
      <c r="O26" s="1033"/>
      <c r="P26" s="1037"/>
      <c r="Q26" s="952"/>
    </row>
    <row r="27" spans="1:17" ht="15" customHeight="1">
      <c r="A27" s="956"/>
      <c r="B27" s="1036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4"/>
      <c r="Q27" s="952"/>
    </row>
    <row r="28" spans="1:17" ht="11.25" customHeight="1" thickBot="1">
      <c r="A28" s="956"/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952"/>
    </row>
    <row r="29" spans="1:17" ht="31.5" customHeight="1" thickBot="1">
      <c r="A29" s="956"/>
      <c r="B29" s="2128" t="s">
        <v>578</v>
      </c>
      <c r="C29" s="2129"/>
      <c r="D29" s="2129"/>
      <c r="E29" s="2129"/>
      <c r="F29" s="2129"/>
      <c r="G29" s="2129"/>
      <c r="H29" s="2130"/>
      <c r="I29" s="959"/>
      <c r="J29" s="1748" t="s">
        <v>577</v>
      </c>
      <c r="K29" s="1749"/>
      <c r="L29" s="1749"/>
      <c r="M29" s="1749"/>
      <c r="N29" s="1749"/>
      <c r="O29" s="1749"/>
      <c r="P29" s="1750"/>
      <c r="Q29" s="952"/>
    </row>
    <row r="30" spans="1:17" ht="29.25" customHeight="1">
      <c r="A30" s="956"/>
      <c r="B30" s="966"/>
      <c r="C30" s="959"/>
      <c r="D30" s="959"/>
      <c r="E30" s="959"/>
      <c r="F30" s="959"/>
      <c r="G30" s="959"/>
      <c r="H30" s="998"/>
      <c r="I30" s="959"/>
      <c r="J30" s="2119" t="s">
        <v>255</v>
      </c>
      <c r="K30" s="2120"/>
      <c r="L30" s="2120"/>
      <c r="M30" s="2120"/>
      <c r="N30" s="2120"/>
      <c r="O30" s="2120"/>
      <c r="P30" s="2121"/>
      <c r="Q30" s="952"/>
    </row>
    <row r="31" spans="1:17" ht="20.25" customHeight="1">
      <c r="A31" s="956"/>
      <c r="B31" s="1031" t="s">
        <v>477</v>
      </c>
      <c r="C31" s="965"/>
      <c r="D31" s="965"/>
      <c r="E31" s="1012"/>
      <c r="F31" s="1012"/>
      <c r="G31" s="2082" t="s">
        <v>171</v>
      </c>
      <c r="H31" s="2090"/>
      <c r="I31" s="959"/>
      <c r="J31" s="2122"/>
      <c r="K31" s="2123"/>
      <c r="L31" s="2123"/>
      <c r="M31" s="2123"/>
      <c r="N31" s="2123"/>
      <c r="O31" s="2123"/>
      <c r="P31" s="2124"/>
      <c r="Q31" s="952"/>
    </row>
    <row r="32" spans="1:17" ht="19.5" customHeight="1">
      <c r="A32" s="956"/>
      <c r="B32" s="1031" t="s">
        <v>478</v>
      </c>
      <c r="C32" s="1032"/>
      <c r="D32" s="965"/>
      <c r="E32" s="965"/>
      <c r="F32" s="965"/>
      <c r="G32" s="2082" t="s">
        <v>172</v>
      </c>
      <c r="H32" s="2090"/>
      <c r="I32" s="959"/>
      <c r="J32" s="2122"/>
      <c r="K32" s="2123"/>
      <c r="L32" s="2123"/>
      <c r="M32" s="2123"/>
      <c r="N32" s="2123"/>
      <c r="O32" s="2123"/>
      <c r="P32" s="2124"/>
      <c r="Q32" s="952"/>
    </row>
    <row r="33" spans="1:17" ht="20.25" customHeight="1">
      <c r="A33" s="956"/>
      <c r="B33" s="979"/>
      <c r="G33" s="2082"/>
      <c r="H33" s="2090"/>
      <c r="I33" s="959"/>
      <c r="J33" s="2122"/>
      <c r="K33" s="2123"/>
      <c r="L33" s="2123"/>
      <c r="M33" s="2123"/>
      <c r="N33" s="2123"/>
      <c r="O33" s="2123"/>
      <c r="P33" s="2124"/>
      <c r="Q33" s="952"/>
    </row>
    <row r="34" spans="1:17" ht="20.25" customHeight="1">
      <c r="A34" s="956"/>
      <c r="B34" s="1031"/>
      <c r="C34" s="984"/>
      <c r="D34" s="965"/>
      <c r="E34" s="965"/>
      <c r="F34" s="965"/>
      <c r="G34" s="2082"/>
      <c r="H34" s="2090"/>
      <c r="I34" s="959"/>
      <c r="J34" s="2122"/>
      <c r="K34" s="2123"/>
      <c r="L34" s="2123"/>
      <c r="M34" s="2123"/>
      <c r="N34" s="2123"/>
      <c r="O34" s="2123"/>
      <c r="P34" s="2124"/>
      <c r="Q34" s="952"/>
    </row>
    <row r="35" spans="1:17" ht="20.25" customHeight="1">
      <c r="A35" s="956"/>
      <c r="B35" s="979"/>
      <c r="H35" s="940"/>
      <c r="I35" s="959"/>
      <c r="J35" s="2122"/>
      <c r="K35" s="2123"/>
      <c r="L35" s="2123"/>
      <c r="M35" s="2123"/>
      <c r="N35" s="2123"/>
      <c r="O35" s="2123"/>
      <c r="P35" s="2124"/>
      <c r="Q35" s="952"/>
    </row>
    <row r="36" spans="1:17" ht="20.25" customHeight="1">
      <c r="A36" s="956"/>
      <c r="B36" s="2143"/>
      <c r="C36" s="2144"/>
      <c r="D36" s="2144"/>
      <c r="E36" s="2144"/>
      <c r="F36" s="2144"/>
      <c r="G36" s="2144"/>
      <c r="H36" s="2145"/>
      <c r="I36" s="959"/>
      <c r="J36" s="2122"/>
      <c r="K36" s="2123"/>
      <c r="L36" s="2123"/>
      <c r="M36" s="2123"/>
      <c r="N36" s="2123"/>
      <c r="O36" s="2123"/>
      <c r="P36" s="2124"/>
      <c r="Q36" s="952"/>
    </row>
    <row r="37" spans="1:17" ht="20.25" customHeight="1">
      <c r="A37" s="956"/>
      <c r="B37" s="1027"/>
      <c r="C37" s="1026"/>
      <c r="D37" s="1026"/>
      <c r="E37" s="1026"/>
      <c r="F37" s="1026"/>
      <c r="G37" s="1026"/>
      <c r="H37" s="1025"/>
      <c r="I37" s="959"/>
      <c r="J37" s="2122"/>
      <c r="K37" s="2123"/>
      <c r="L37" s="2123"/>
      <c r="M37" s="2123"/>
      <c r="N37" s="2123"/>
      <c r="O37" s="2123"/>
      <c r="P37" s="2124"/>
      <c r="Q37" s="952"/>
    </row>
    <row r="38" spans="1:17" ht="21" customHeight="1" thickBot="1">
      <c r="A38" s="956"/>
      <c r="B38" s="1024"/>
      <c r="C38" s="1023"/>
      <c r="D38" s="1023"/>
      <c r="E38" s="1023"/>
      <c r="F38" s="1023"/>
      <c r="G38" s="1023"/>
      <c r="H38" s="1022"/>
      <c r="I38" s="959"/>
      <c r="J38" s="2125"/>
      <c r="K38" s="2126"/>
      <c r="L38" s="2126"/>
      <c r="M38" s="2126"/>
      <c r="N38" s="2126"/>
      <c r="O38" s="2126"/>
      <c r="P38" s="2127"/>
      <c r="Q38" s="952"/>
    </row>
    <row r="39" spans="1:17" ht="17.25" customHeight="1" thickBot="1">
      <c r="A39" s="956"/>
      <c r="B39" s="1021"/>
      <c r="C39" s="1020"/>
      <c r="D39" s="1020"/>
      <c r="E39" s="1020"/>
      <c r="F39" s="1020"/>
      <c r="G39" s="1020"/>
      <c r="H39" s="1019"/>
      <c r="I39" s="959"/>
      <c r="J39" s="1018"/>
      <c r="K39" s="1017"/>
      <c r="L39" s="1017"/>
      <c r="M39" s="1017"/>
      <c r="N39" s="1017"/>
      <c r="O39" s="1017"/>
      <c r="P39" s="938"/>
      <c r="Q39" s="952"/>
    </row>
    <row r="40" spans="1:17" ht="31.5" customHeight="1" thickBot="1">
      <c r="A40" s="956"/>
      <c r="B40" s="2087" t="s">
        <v>575</v>
      </c>
      <c r="C40" s="2088"/>
      <c r="D40" s="2088"/>
      <c r="E40" s="2088"/>
      <c r="F40" s="2088"/>
      <c r="G40" s="2088"/>
      <c r="H40" s="2089"/>
      <c r="I40" s="959"/>
      <c r="J40" s="2111" t="s">
        <v>574</v>
      </c>
      <c r="K40" s="2112"/>
      <c r="L40" s="2112"/>
      <c r="M40" s="2112"/>
      <c r="N40" s="2112"/>
      <c r="O40" s="2112"/>
      <c r="P40" s="2113"/>
      <c r="Q40" s="952"/>
    </row>
    <row r="41" spans="1:17" ht="20.25">
      <c r="A41" s="956"/>
      <c r="B41" s="2072" t="s">
        <v>573</v>
      </c>
      <c r="C41" s="2073"/>
      <c r="D41" s="2073"/>
      <c r="E41" s="1016"/>
      <c r="F41" s="2114">
        <v>1995</v>
      </c>
      <c r="G41" s="2114"/>
      <c r="H41" s="2115"/>
      <c r="I41" s="959"/>
      <c r="J41" s="2116" t="s">
        <v>572</v>
      </c>
      <c r="K41" s="2117"/>
      <c r="L41" s="2117"/>
      <c r="M41" s="2117"/>
      <c r="N41" s="2117"/>
      <c r="O41" s="2117"/>
      <c r="P41" s="2118"/>
      <c r="Q41" s="952"/>
    </row>
    <row r="42" spans="1:17" ht="20.25">
      <c r="A42" s="956"/>
      <c r="B42" s="2103" t="s">
        <v>571</v>
      </c>
      <c r="C42" s="2104"/>
      <c r="D42" s="2104"/>
      <c r="E42" s="1001"/>
      <c r="F42" s="2105">
        <v>599</v>
      </c>
      <c r="G42" s="2105"/>
      <c r="H42" s="2106"/>
      <c r="I42" s="959"/>
      <c r="J42" s="979"/>
      <c r="P42" s="940"/>
      <c r="Q42" s="952"/>
    </row>
    <row r="43" spans="1:17" ht="20.25">
      <c r="A43" s="956"/>
      <c r="B43" s="2081" t="s">
        <v>617</v>
      </c>
      <c r="C43" s="2082"/>
      <c r="D43" s="2082"/>
      <c r="E43" s="1015"/>
      <c r="F43" s="2105">
        <v>575</v>
      </c>
      <c r="G43" s="2105"/>
      <c r="H43" s="2106"/>
      <c r="I43" s="959"/>
      <c r="J43" s="2137" t="s">
        <v>570</v>
      </c>
      <c r="K43" s="2138"/>
      <c r="L43" s="2138"/>
      <c r="M43" s="2138"/>
      <c r="N43" s="2138"/>
      <c r="O43" s="2138"/>
      <c r="P43" s="2139"/>
      <c r="Q43" s="952"/>
    </row>
    <row r="44" spans="1:17" ht="20.25">
      <c r="A44" s="956"/>
      <c r="B44" s="2081" t="s">
        <v>569</v>
      </c>
      <c r="C44" s="2082"/>
      <c r="D44" s="2082"/>
      <c r="E44" s="2082"/>
      <c r="F44" s="2082"/>
      <c r="G44" s="2082"/>
      <c r="H44" s="2090"/>
      <c r="I44" s="959"/>
      <c r="J44" s="2140" t="s">
        <v>568</v>
      </c>
      <c r="K44" s="2141"/>
      <c r="L44" s="2141"/>
      <c r="M44" s="2141"/>
      <c r="N44" s="2141"/>
      <c r="O44" s="2141"/>
      <c r="P44" s="2142"/>
      <c r="Q44" s="952"/>
    </row>
    <row r="45" spans="1:17" ht="20.25">
      <c r="A45" s="956"/>
      <c r="B45" s="2097" t="s">
        <v>567</v>
      </c>
      <c r="C45" s="2098"/>
      <c r="D45" s="2098"/>
      <c r="E45" s="2098"/>
      <c r="F45" s="2098"/>
      <c r="G45" s="2098"/>
      <c r="H45" s="2099"/>
      <c r="I45" s="959"/>
      <c r="J45" s="979"/>
      <c r="P45" s="940"/>
      <c r="Q45" s="952"/>
    </row>
    <row r="46" spans="1:17" ht="20.25">
      <c r="A46" s="956"/>
      <c r="B46" s="994"/>
      <c r="C46" s="988"/>
      <c r="D46" s="959"/>
      <c r="E46" s="959"/>
      <c r="F46" s="1014"/>
      <c r="G46" s="1014"/>
      <c r="H46" s="998"/>
      <c r="I46" s="959"/>
      <c r="J46" s="1010"/>
      <c r="K46" s="1009"/>
      <c r="L46" s="1009"/>
      <c r="M46" s="1009"/>
      <c r="N46" s="1009"/>
      <c r="O46" s="1009"/>
      <c r="P46" s="1008"/>
      <c r="Q46" s="952"/>
    </row>
    <row r="47" spans="1:17" ht="21" thickBot="1">
      <c r="A47" s="956"/>
      <c r="B47" s="1013"/>
      <c r="C47" s="1012"/>
      <c r="D47" s="1012"/>
      <c r="E47" s="1012"/>
      <c r="F47" s="1012"/>
      <c r="G47" s="1012"/>
      <c r="H47" s="1011"/>
      <c r="I47" s="959"/>
      <c r="J47" s="1010"/>
      <c r="K47" s="1009"/>
      <c r="L47" s="1009"/>
      <c r="M47" s="1009"/>
      <c r="N47" s="1009"/>
      <c r="O47" s="1009"/>
      <c r="P47" s="1008"/>
      <c r="Q47" s="952"/>
    </row>
    <row r="48" spans="1:17" ht="31.5" customHeight="1" thickBot="1">
      <c r="A48" s="956"/>
      <c r="B48" s="1007"/>
      <c r="C48" s="1006"/>
      <c r="D48" s="1006"/>
      <c r="E48" s="1006"/>
      <c r="F48" s="1006"/>
      <c r="G48" s="1006"/>
      <c r="H48" s="1005"/>
      <c r="I48" s="999"/>
      <c r="J48" s="1004"/>
      <c r="K48" s="1003"/>
      <c r="L48" s="1003"/>
      <c r="M48" s="1003"/>
      <c r="N48" s="1003"/>
      <c r="O48" s="1003"/>
      <c r="P48" s="1002"/>
      <c r="Q48" s="952"/>
    </row>
    <row r="49" spans="1:17" ht="30.75" customHeight="1" thickBot="1">
      <c r="A49" s="956"/>
      <c r="B49" s="2087" t="s">
        <v>566</v>
      </c>
      <c r="C49" s="2088"/>
      <c r="D49" s="2088"/>
      <c r="E49" s="2088"/>
      <c r="F49" s="2088"/>
      <c r="G49" s="2088"/>
      <c r="H49" s="2089"/>
      <c r="J49" s="979"/>
      <c r="P49" s="940"/>
      <c r="Q49" s="952"/>
    </row>
    <row r="50" spans="1:17" ht="19.5" customHeight="1">
      <c r="A50" s="956"/>
      <c r="B50" s="2100" t="s">
        <v>565</v>
      </c>
      <c r="C50" s="2101"/>
      <c r="D50" s="2101"/>
      <c r="E50" s="2101"/>
      <c r="F50" s="2101"/>
      <c r="G50" s="2101"/>
      <c r="H50" s="2102"/>
      <c r="J50" s="979"/>
      <c r="P50" s="940"/>
      <c r="Q50" s="952"/>
    </row>
    <row r="51" spans="1:17" ht="19.5" customHeight="1">
      <c r="A51" s="956"/>
      <c r="B51" s="2100" t="s">
        <v>564</v>
      </c>
      <c r="C51" s="2101"/>
      <c r="D51" s="2101"/>
      <c r="E51" s="2101"/>
      <c r="F51" s="2101"/>
      <c r="G51" s="2101"/>
      <c r="H51" s="2102"/>
      <c r="J51" s="979"/>
      <c r="P51" s="940"/>
      <c r="Q51" s="952"/>
    </row>
    <row r="52" spans="1:17" ht="20.25">
      <c r="A52" s="956"/>
      <c r="B52" s="2081" t="s">
        <v>563</v>
      </c>
      <c r="C52" s="2082"/>
      <c r="D52" s="1000"/>
      <c r="E52" s="1000"/>
      <c r="F52" s="2083">
        <v>-0.125</v>
      </c>
      <c r="G52" s="2083"/>
      <c r="H52" s="998"/>
      <c r="J52" s="979"/>
      <c r="P52" s="940"/>
      <c r="Q52" s="952"/>
    </row>
    <row r="53" spans="1:17" ht="20.25">
      <c r="A53" s="956"/>
      <c r="B53" s="2081" t="s">
        <v>562</v>
      </c>
      <c r="C53" s="2082"/>
      <c r="D53" s="1000"/>
      <c r="E53" s="1000"/>
      <c r="F53" s="2083">
        <v>-0.25</v>
      </c>
      <c r="G53" s="2083"/>
      <c r="H53" s="998"/>
      <c r="J53" s="979"/>
      <c r="P53" s="940"/>
      <c r="Q53" s="952"/>
    </row>
    <row r="54" spans="1:17" ht="20.25">
      <c r="A54" s="956"/>
      <c r="B54" s="2081" t="s">
        <v>561</v>
      </c>
      <c r="C54" s="2082"/>
      <c r="D54" s="1000"/>
      <c r="E54" s="1000"/>
      <c r="F54" s="2083">
        <v>-0.375</v>
      </c>
      <c r="G54" s="2083"/>
      <c r="H54" s="998"/>
      <c r="J54" s="979"/>
      <c r="P54" s="940"/>
      <c r="Q54" s="952"/>
    </row>
    <row r="55" spans="1:17" ht="20.25">
      <c r="A55" s="956"/>
      <c r="B55" s="2081" t="s">
        <v>560</v>
      </c>
      <c r="C55" s="2082"/>
      <c r="D55" s="959"/>
      <c r="E55" s="959"/>
      <c r="F55" s="2083">
        <v>-0.5</v>
      </c>
      <c r="G55" s="2083"/>
      <c r="H55" s="998"/>
      <c r="J55" s="979"/>
      <c r="P55" s="940"/>
      <c r="Q55" s="952"/>
    </row>
    <row r="56" spans="1:17" ht="20.25" customHeight="1" thickBot="1">
      <c r="A56" s="956"/>
      <c r="B56" s="2084" t="s">
        <v>31</v>
      </c>
      <c r="C56" s="2085"/>
      <c r="D56" s="2085"/>
      <c r="E56" s="2085"/>
      <c r="F56" s="2085"/>
      <c r="G56" s="2085"/>
      <c r="H56" s="2086"/>
      <c r="I56" s="959"/>
      <c r="J56" s="997"/>
      <c r="K56" s="996"/>
      <c r="L56" s="996"/>
      <c r="M56" s="996"/>
      <c r="N56" s="996"/>
      <c r="O56" s="996"/>
      <c r="P56" s="995"/>
      <c r="Q56" s="952"/>
    </row>
    <row r="57" spans="1:17" ht="20.25">
      <c r="A57" s="956"/>
      <c r="B57" s="979"/>
      <c r="D57" s="980"/>
      <c r="E57" s="980"/>
      <c r="F57" s="980"/>
      <c r="G57" s="999"/>
      <c r="H57" s="998"/>
      <c r="I57" s="959"/>
      <c r="J57" s="979"/>
      <c r="P57" s="940"/>
      <c r="Q57" s="952"/>
    </row>
    <row r="58" spans="1:17" ht="32.25" customHeight="1" thickBot="1">
      <c r="A58" s="956"/>
      <c r="B58" s="997"/>
      <c r="C58" s="996"/>
      <c r="D58" s="996"/>
      <c r="E58" s="996"/>
      <c r="F58" s="996"/>
      <c r="G58" s="996"/>
      <c r="H58" s="995"/>
      <c r="I58" s="959"/>
      <c r="J58" s="979"/>
      <c r="P58" s="940"/>
      <c r="Q58" s="952"/>
    </row>
    <row r="59" spans="1:17" ht="31.5" customHeight="1" thickBot="1">
      <c r="A59" s="956"/>
      <c r="B59" s="2087" t="s">
        <v>175</v>
      </c>
      <c r="C59" s="2088"/>
      <c r="D59" s="2088"/>
      <c r="E59" s="2088"/>
      <c r="F59" s="2088"/>
      <c r="G59" s="2088"/>
      <c r="H59" s="2088"/>
      <c r="I59" s="2088"/>
      <c r="J59" s="2088"/>
      <c r="K59" s="2088"/>
      <c r="L59" s="2088"/>
      <c r="M59" s="2088"/>
      <c r="N59" s="2088"/>
      <c r="O59" s="2088"/>
      <c r="P59" s="2089"/>
      <c r="Q59" s="952"/>
    </row>
    <row r="60" spans="1:17" ht="20.25" customHeight="1">
      <c r="A60" s="956"/>
      <c r="B60" s="2072" t="s">
        <v>176</v>
      </c>
      <c r="C60" s="2073"/>
      <c r="D60" s="2073"/>
      <c r="E60" s="2073"/>
      <c r="F60" s="2073"/>
      <c r="G60" s="2073"/>
      <c r="H60" s="2073"/>
      <c r="I60" s="2073"/>
      <c r="J60" s="2073"/>
      <c r="K60" s="2073"/>
      <c r="L60" s="2073"/>
      <c r="M60" s="2073"/>
      <c r="N60" s="2073"/>
      <c r="O60" s="2073"/>
      <c r="P60" s="2074"/>
      <c r="Q60" s="952"/>
    </row>
    <row r="61" spans="1:17" ht="20.25" customHeight="1">
      <c r="A61" s="956"/>
      <c r="B61" s="2081" t="s">
        <v>349</v>
      </c>
      <c r="C61" s="2082"/>
      <c r="D61" s="2082"/>
      <c r="E61" s="2082"/>
      <c r="F61" s="2082"/>
      <c r="G61" s="2082"/>
      <c r="H61" s="2082"/>
      <c r="I61" s="2082"/>
      <c r="J61" s="2082"/>
      <c r="K61" s="2082"/>
      <c r="L61" s="2082"/>
      <c r="M61" s="2082"/>
      <c r="N61" s="2082"/>
      <c r="O61" s="2082"/>
      <c r="P61" s="2090"/>
      <c r="Q61" s="952"/>
    </row>
    <row r="62" spans="1:17" ht="20.25" customHeight="1">
      <c r="A62" s="956"/>
      <c r="B62" s="991"/>
      <c r="C62" s="990"/>
      <c r="D62" s="990"/>
      <c r="E62" s="990"/>
      <c r="F62" s="990"/>
      <c r="G62" s="985"/>
      <c r="H62" s="985"/>
      <c r="I62" s="1012"/>
      <c r="J62" s="983"/>
      <c r="K62" s="983"/>
      <c r="L62" s="983"/>
      <c r="M62" s="983"/>
      <c r="N62" s="983"/>
      <c r="O62" s="983"/>
      <c r="P62" s="982"/>
      <c r="Q62" s="952"/>
    </row>
    <row r="63" spans="1:17" ht="20.25" customHeight="1">
      <c r="A63" s="956"/>
      <c r="B63" s="991" t="s">
        <v>177</v>
      </c>
      <c r="C63" s="990"/>
      <c r="D63" s="990"/>
      <c r="E63" s="990"/>
      <c r="F63" s="990"/>
      <c r="G63" s="985"/>
      <c r="H63" s="985"/>
      <c r="I63" s="1012"/>
      <c r="J63" s="1167"/>
      <c r="K63" s="1167"/>
      <c r="L63" s="1167"/>
      <c r="M63" s="1167"/>
      <c r="N63" s="1167"/>
      <c r="O63" s="1167"/>
      <c r="P63" s="1166"/>
      <c r="Q63" s="952"/>
    </row>
    <row r="64" spans="1:17" ht="20.25" customHeight="1">
      <c r="A64" s="956"/>
      <c r="B64" s="979"/>
      <c r="G64" s="985"/>
      <c r="H64" s="985"/>
      <c r="I64" s="959"/>
      <c r="J64" s="983"/>
      <c r="K64" s="983"/>
      <c r="L64" s="983"/>
      <c r="M64" s="983"/>
      <c r="N64" s="983"/>
      <c r="O64" s="983"/>
      <c r="P64" s="982"/>
      <c r="Q64" s="952"/>
    </row>
    <row r="65" spans="1:17" ht="23.25" customHeight="1" thickBot="1">
      <c r="A65" s="956"/>
      <c r="B65" s="979"/>
      <c r="G65" s="984"/>
      <c r="H65" s="984"/>
      <c r="I65" s="959"/>
      <c r="J65" s="983"/>
      <c r="K65" s="983"/>
      <c r="L65" s="983"/>
      <c r="M65" s="983"/>
      <c r="N65" s="983"/>
      <c r="O65" s="983"/>
      <c r="P65" s="982"/>
      <c r="Q65" s="952"/>
    </row>
    <row r="66" spans="1:17">
      <c r="A66" s="956"/>
      <c r="B66" s="981"/>
      <c r="C66" s="980"/>
      <c r="D66" s="980"/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43"/>
      <c r="Q66" s="952"/>
    </row>
    <row r="67" spans="1:17" ht="19.5" customHeight="1">
      <c r="A67" s="956"/>
      <c r="B67" s="979"/>
      <c r="P67" s="940"/>
      <c r="Q67" s="952"/>
    </row>
    <row r="68" spans="1:17" ht="22.5" customHeight="1">
      <c r="A68" s="956"/>
      <c r="B68" s="979"/>
      <c r="P68" s="940"/>
      <c r="Q68" s="952"/>
    </row>
    <row r="69" spans="1:17">
      <c r="A69" s="956"/>
      <c r="B69" s="979"/>
      <c r="P69" s="940"/>
      <c r="Q69" s="952"/>
    </row>
    <row r="70" spans="1:17">
      <c r="A70" s="956"/>
      <c r="B70" s="979"/>
      <c r="P70" s="940"/>
      <c r="Q70" s="952"/>
    </row>
    <row r="71" spans="1:17">
      <c r="A71" s="956"/>
      <c r="B71" s="979"/>
      <c r="P71" s="940"/>
      <c r="Q71" s="952"/>
    </row>
    <row r="72" spans="1:17" ht="40.5" customHeight="1">
      <c r="A72" s="956"/>
      <c r="B72" s="978"/>
      <c r="C72" s="970"/>
      <c r="D72" s="970"/>
      <c r="E72" s="970"/>
      <c r="F72" s="970"/>
      <c r="G72" s="970"/>
      <c r="H72" s="970"/>
      <c r="I72" s="959"/>
      <c r="J72" s="974"/>
      <c r="K72" s="974"/>
      <c r="L72" s="974"/>
      <c r="M72" s="974"/>
      <c r="N72" s="974"/>
      <c r="O72" s="974"/>
      <c r="P72" s="973"/>
      <c r="Q72" s="952"/>
    </row>
    <row r="73" spans="1:17" ht="20.25">
      <c r="A73" s="956"/>
      <c r="B73" s="977"/>
      <c r="C73" s="976"/>
      <c r="D73" s="959"/>
      <c r="E73" s="959"/>
      <c r="F73" s="975"/>
      <c r="G73" s="959"/>
      <c r="H73" s="959"/>
      <c r="I73" s="959"/>
      <c r="J73" s="974"/>
      <c r="K73" s="974"/>
      <c r="L73" s="974"/>
      <c r="M73" s="974"/>
      <c r="N73" s="974"/>
      <c r="O73" s="974"/>
      <c r="P73" s="973"/>
      <c r="Q73" s="952"/>
    </row>
    <row r="74" spans="1:17" ht="20.25">
      <c r="A74" s="956"/>
      <c r="B74" s="972"/>
      <c r="C74" s="965"/>
      <c r="D74" s="971"/>
      <c r="E74" s="971"/>
      <c r="F74" s="971"/>
      <c r="G74" s="971"/>
      <c r="H74" s="971"/>
      <c r="I74" s="959"/>
      <c r="J74" s="970"/>
      <c r="K74" s="935"/>
      <c r="L74" s="935"/>
      <c r="M74" s="935"/>
      <c r="N74" s="935"/>
      <c r="O74" s="935"/>
      <c r="P74" s="969"/>
      <c r="Q74" s="952"/>
    </row>
    <row r="75" spans="1:17" ht="20.25">
      <c r="A75" s="956"/>
      <c r="B75" s="966"/>
      <c r="C75" s="959"/>
      <c r="D75" s="959"/>
      <c r="E75" s="959"/>
      <c r="F75" s="959"/>
      <c r="G75" s="959"/>
      <c r="H75" s="959"/>
      <c r="I75" s="959"/>
      <c r="J75" s="935"/>
      <c r="K75" s="935"/>
      <c r="L75" s="935"/>
      <c r="M75" s="935"/>
      <c r="N75" s="935"/>
      <c r="O75" s="935"/>
      <c r="P75" s="969"/>
      <c r="Q75" s="952"/>
    </row>
    <row r="76" spans="1:17" ht="20.25">
      <c r="A76" s="956"/>
      <c r="B76" s="966"/>
      <c r="D76" s="959"/>
      <c r="E76" s="959"/>
      <c r="F76" s="959"/>
      <c r="G76" s="959"/>
      <c r="H76" s="959"/>
      <c r="I76" s="959"/>
      <c r="P76" s="940"/>
      <c r="Q76" s="952"/>
    </row>
    <row r="77" spans="1:17" ht="20.25" customHeight="1">
      <c r="A77" s="956"/>
      <c r="B77" s="966"/>
      <c r="C77" s="959"/>
      <c r="D77" s="959"/>
      <c r="E77" s="959"/>
      <c r="F77" s="959"/>
      <c r="G77" s="959"/>
      <c r="H77" s="959"/>
      <c r="I77" s="959"/>
      <c r="J77" s="960"/>
      <c r="N77" s="958"/>
      <c r="O77" s="958"/>
      <c r="P77" s="957"/>
      <c r="Q77" s="952"/>
    </row>
    <row r="78" spans="1:17" ht="20.25">
      <c r="A78" s="956"/>
      <c r="B78" s="968"/>
      <c r="C78" s="967"/>
      <c r="D78" s="967"/>
      <c r="E78" s="967"/>
      <c r="F78" s="967"/>
      <c r="G78" s="967"/>
      <c r="H78" s="967"/>
      <c r="I78" s="959"/>
      <c r="J78" s="960"/>
      <c r="K78" s="959"/>
      <c r="L78" s="959"/>
      <c r="M78" s="959"/>
      <c r="N78" s="958"/>
      <c r="O78" s="958"/>
      <c r="P78" s="957"/>
      <c r="Q78" s="952"/>
    </row>
    <row r="79" spans="1:17" ht="20.25" customHeight="1">
      <c r="A79" s="956"/>
      <c r="B79" s="968"/>
      <c r="C79" s="967"/>
      <c r="D79" s="967"/>
      <c r="E79" s="967"/>
      <c r="F79" s="967"/>
      <c r="G79" s="967"/>
      <c r="H79" s="967"/>
      <c r="I79" s="959"/>
      <c r="J79" s="960"/>
      <c r="K79" s="965"/>
      <c r="L79" s="965"/>
      <c r="M79" s="959"/>
      <c r="N79" s="958"/>
      <c r="O79" s="958"/>
      <c r="P79" s="957"/>
      <c r="Q79" s="952"/>
    </row>
    <row r="80" spans="1:17" ht="20.25">
      <c r="A80" s="956"/>
      <c r="B80" s="966"/>
      <c r="C80" s="959"/>
      <c r="D80" s="959"/>
      <c r="E80" s="959"/>
      <c r="F80" s="959"/>
      <c r="G80" s="959"/>
      <c r="H80" s="959"/>
      <c r="I80" s="959"/>
      <c r="J80" s="960"/>
      <c r="K80" s="965"/>
      <c r="L80" s="965"/>
      <c r="M80" s="959"/>
      <c r="N80" s="958"/>
      <c r="O80" s="958"/>
      <c r="P80" s="957"/>
      <c r="Q80" s="952"/>
    </row>
    <row r="81" spans="1:17" ht="20.25">
      <c r="A81" s="956"/>
      <c r="B81" s="963"/>
      <c r="C81" s="962"/>
      <c r="D81" s="962"/>
      <c r="E81" s="959"/>
      <c r="F81" s="959"/>
      <c r="G81" s="964"/>
      <c r="H81" s="959"/>
      <c r="I81" s="959"/>
      <c r="J81" s="960"/>
      <c r="K81" s="965"/>
      <c r="L81" s="965"/>
      <c r="M81" s="959"/>
      <c r="N81" s="958"/>
      <c r="O81" s="958"/>
      <c r="P81" s="957"/>
      <c r="Q81" s="952"/>
    </row>
    <row r="82" spans="1:17" ht="20.25">
      <c r="A82" s="956"/>
      <c r="B82" s="963"/>
      <c r="C82" s="962"/>
      <c r="D82" s="962"/>
      <c r="E82" s="959"/>
      <c r="F82" s="959"/>
      <c r="G82" s="964"/>
      <c r="H82" s="959"/>
      <c r="I82" s="959"/>
      <c r="J82" s="960"/>
      <c r="K82" s="959"/>
      <c r="L82" s="959"/>
      <c r="M82" s="959"/>
      <c r="N82" s="958"/>
      <c r="O82" s="958"/>
      <c r="P82" s="957"/>
      <c r="Q82" s="952"/>
    </row>
    <row r="83" spans="1:17" ht="20.25">
      <c r="A83" s="956"/>
      <c r="B83" s="963"/>
      <c r="C83" s="962"/>
      <c r="D83" s="962"/>
      <c r="E83" s="959"/>
      <c r="F83" s="959"/>
      <c r="G83" s="961"/>
      <c r="H83" s="959"/>
      <c r="I83" s="959"/>
      <c r="J83" s="960"/>
      <c r="K83" s="959"/>
      <c r="L83" s="959"/>
      <c r="M83" s="959"/>
      <c r="N83" s="958"/>
      <c r="O83" s="958"/>
      <c r="P83" s="957"/>
      <c r="Q83" s="952"/>
    </row>
    <row r="84" spans="1:17" ht="20.25" customHeight="1" thickBot="1">
      <c r="A84" s="956"/>
      <c r="B84" s="955"/>
      <c r="C84" s="954"/>
      <c r="D84" s="954"/>
      <c r="E84" s="947"/>
      <c r="F84" s="947"/>
      <c r="G84" s="947"/>
      <c r="H84" s="947"/>
      <c r="I84" s="947"/>
      <c r="J84" s="947"/>
      <c r="K84" s="947"/>
      <c r="L84" s="947"/>
      <c r="M84" s="947"/>
      <c r="N84" s="947"/>
      <c r="O84" s="947"/>
      <c r="P84" s="953"/>
      <c r="Q84" s="952"/>
    </row>
    <row r="85" spans="1:17" s="936" customFormat="1" ht="15.75" thickBot="1">
      <c r="A85" s="942"/>
      <c r="B85" s="942"/>
      <c r="C85" s="937"/>
      <c r="D85" s="937"/>
      <c r="E85" s="937"/>
      <c r="F85" s="937"/>
      <c r="G85" s="937"/>
      <c r="H85" s="937"/>
      <c r="I85" s="937"/>
      <c r="J85" s="937"/>
      <c r="K85" s="937"/>
      <c r="L85" s="937"/>
      <c r="M85" s="937"/>
      <c r="N85" s="937"/>
      <c r="O85" s="937"/>
      <c r="P85" s="949"/>
      <c r="Q85" s="949"/>
    </row>
    <row r="86" spans="1:17" s="936" customFormat="1">
      <c r="A86" s="942"/>
      <c r="B86" s="1748" t="s">
        <v>559</v>
      </c>
      <c r="C86" s="1749"/>
      <c r="D86" s="1749"/>
      <c r="E86" s="1749"/>
      <c r="F86" s="1749"/>
      <c r="G86" s="1749"/>
      <c r="H86" s="1749"/>
      <c r="I86" s="1749"/>
      <c r="J86" s="1749"/>
      <c r="K86" s="1749"/>
      <c r="L86" s="1749"/>
      <c r="M86" s="1749"/>
      <c r="N86" s="1749"/>
      <c r="O86" s="1749"/>
      <c r="P86" s="1750"/>
      <c r="Q86" s="949"/>
    </row>
    <row r="87" spans="1:17" s="936" customFormat="1" ht="15.75" thickBot="1">
      <c r="A87" s="942"/>
      <c r="B87" s="1751"/>
      <c r="C87" s="1752"/>
      <c r="D87" s="1752"/>
      <c r="E87" s="1752"/>
      <c r="F87" s="1752"/>
      <c r="G87" s="1752"/>
      <c r="H87" s="1752"/>
      <c r="I87" s="1752"/>
      <c r="J87" s="1752"/>
      <c r="K87" s="1752"/>
      <c r="L87" s="1752"/>
      <c r="M87" s="1752"/>
      <c r="N87" s="1752"/>
      <c r="O87" s="1752"/>
      <c r="P87" s="1753"/>
      <c r="Q87" s="949"/>
    </row>
    <row r="88" spans="1:17" s="936" customFormat="1" ht="21" customHeight="1">
      <c r="A88" s="942"/>
      <c r="B88" s="2072" t="s">
        <v>179</v>
      </c>
      <c r="C88" s="2073"/>
      <c r="D88" s="2073"/>
      <c r="E88" s="2073"/>
      <c r="F88" s="2073"/>
      <c r="G88" s="2073"/>
      <c r="H88" s="2073"/>
      <c r="I88" s="2073"/>
      <c r="J88" s="2073"/>
      <c r="K88" s="2073"/>
      <c r="L88" s="2073"/>
      <c r="M88" s="2073"/>
      <c r="N88" s="2073"/>
      <c r="O88" s="2073"/>
      <c r="P88" s="2074"/>
      <c r="Q88" s="949"/>
    </row>
    <row r="89" spans="1:17" s="936" customFormat="1" ht="21" customHeight="1" thickBot="1">
      <c r="A89" s="942"/>
      <c r="B89" s="2075" t="s">
        <v>180</v>
      </c>
      <c r="C89" s="2076"/>
      <c r="D89" s="2076"/>
      <c r="E89" s="2076"/>
      <c r="F89" s="2076"/>
      <c r="G89" s="2076"/>
      <c r="H89" s="2076"/>
      <c r="I89" s="2076"/>
      <c r="J89" s="2076"/>
      <c r="K89" s="2076"/>
      <c r="L89" s="2076"/>
      <c r="M89" s="2076"/>
      <c r="N89" s="2076"/>
      <c r="O89" s="2076"/>
      <c r="P89" s="2077"/>
      <c r="Q89" s="949"/>
    </row>
    <row r="90" spans="1:17" s="936" customFormat="1">
      <c r="A90" s="942"/>
      <c r="B90" s="942"/>
      <c r="C90" s="937"/>
      <c r="D90" s="937"/>
      <c r="E90" s="937"/>
      <c r="F90" s="937"/>
      <c r="G90" s="937"/>
      <c r="H90" s="937"/>
      <c r="I90" s="937"/>
      <c r="J90" s="937"/>
      <c r="K90" s="937"/>
      <c r="L90" s="937"/>
      <c r="M90" s="937"/>
      <c r="N90" s="937"/>
      <c r="O90" s="937"/>
      <c r="P90" s="949"/>
      <c r="Q90" s="949"/>
    </row>
    <row r="91" spans="1:17" s="936" customFormat="1">
      <c r="A91" s="942"/>
      <c r="B91" s="942"/>
      <c r="C91" s="937"/>
      <c r="D91" s="937"/>
      <c r="E91" s="937"/>
      <c r="F91" s="937"/>
      <c r="G91" s="937"/>
      <c r="H91" s="937"/>
      <c r="I91" s="937"/>
      <c r="J91" s="937"/>
      <c r="K91" s="937"/>
      <c r="L91" s="937"/>
      <c r="M91" s="937"/>
      <c r="N91" s="937"/>
      <c r="O91" s="937"/>
      <c r="P91" s="949"/>
      <c r="Q91" s="949"/>
    </row>
    <row r="92" spans="1:17" s="936" customFormat="1">
      <c r="A92" s="942"/>
      <c r="B92" s="942"/>
      <c r="C92" s="937"/>
      <c r="D92" s="937"/>
      <c r="E92" s="937"/>
      <c r="F92" s="937"/>
      <c r="G92" s="937"/>
      <c r="H92" s="937"/>
      <c r="I92" s="937"/>
      <c r="J92" s="937"/>
      <c r="K92" s="937"/>
      <c r="L92" s="937"/>
      <c r="M92" s="937"/>
      <c r="N92" s="937"/>
      <c r="O92" s="937"/>
      <c r="P92" s="949"/>
      <c r="Q92" s="949"/>
    </row>
    <row r="93" spans="1:17" s="936" customFormat="1">
      <c r="A93" s="942"/>
      <c r="B93" s="942"/>
      <c r="C93" s="937"/>
      <c r="D93" s="937"/>
      <c r="E93" s="937"/>
      <c r="F93" s="937"/>
      <c r="G93" s="937"/>
      <c r="H93" s="937"/>
      <c r="I93" s="937"/>
      <c r="J93" s="937"/>
      <c r="K93" s="937"/>
      <c r="L93" s="937"/>
      <c r="M93" s="937"/>
      <c r="N93" s="937"/>
      <c r="O93" s="937"/>
      <c r="P93" s="949"/>
      <c r="Q93" s="949"/>
    </row>
    <row r="94" spans="1:17" s="936" customFormat="1">
      <c r="A94" s="942"/>
      <c r="B94" s="942"/>
      <c r="C94" s="937"/>
      <c r="D94" s="937"/>
      <c r="E94" s="937"/>
      <c r="F94" s="937"/>
      <c r="G94" s="937"/>
      <c r="H94" s="937"/>
      <c r="I94" s="937"/>
      <c r="J94" s="937"/>
      <c r="K94" s="937"/>
      <c r="L94" s="937"/>
      <c r="M94" s="937"/>
      <c r="N94" s="937"/>
      <c r="O94" s="937"/>
      <c r="P94" s="949"/>
      <c r="Q94" s="949"/>
    </row>
    <row r="95" spans="1:17" s="936" customFormat="1">
      <c r="A95" s="942"/>
      <c r="B95" s="942"/>
      <c r="C95" s="937"/>
      <c r="D95" s="937"/>
      <c r="E95" s="937"/>
      <c r="F95" s="937"/>
      <c r="G95" s="937"/>
      <c r="H95" s="937"/>
      <c r="I95" s="937"/>
      <c r="J95" s="937"/>
      <c r="K95" s="937"/>
      <c r="L95" s="937"/>
      <c r="M95" s="937"/>
      <c r="N95" s="937"/>
      <c r="O95" s="937"/>
      <c r="P95" s="949"/>
      <c r="Q95" s="949"/>
    </row>
    <row r="96" spans="1:17" s="936" customFormat="1">
      <c r="A96" s="942"/>
      <c r="B96" s="942"/>
      <c r="C96" s="937"/>
      <c r="D96" s="937"/>
      <c r="E96" s="937"/>
      <c r="F96" s="937"/>
      <c r="G96" s="937"/>
      <c r="H96" s="937"/>
      <c r="I96" s="937"/>
      <c r="J96" s="937"/>
      <c r="K96" s="937"/>
      <c r="L96" s="937"/>
      <c r="M96" s="937"/>
      <c r="N96" s="937"/>
      <c r="O96" s="937"/>
      <c r="P96" s="949"/>
      <c r="Q96" s="949"/>
    </row>
    <row r="97" spans="1:17" s="936" customFormat="1" ht="15.75" thickBot="1">
      <c r="A97" s="942"/>
      <c r="B97" s="939"/>
      <c r="C97" s="951"/>
      <c r="D97" s="951"/>
      <c r="E97" s="951"/>
      <c r="F97" s="951"/>
      <c r="G97" s="951"/>
      <c r="H97" s="951"/>
      <c r="I97" s="951"/>
      <c r="J97" s="951"/>
      <c r="K97" s="951"/>
      <c r="L97" s="951"/>
      <c r="M97" s="951"/>
      <c r="N97" s="951"/>
      <c r="O97" s="951"/>
      <c r="P97" s="950"/>
      <c r="Q97" s="949"/>
    </row>
    <row r="98" spans="1:17" ht="21" thickBot="1">
      <c r="A98" s="948"/>
      <c r="B98" s="947"/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6"/>
    </row>
    <row r="99" spans="1:17" ht="15" customHeight="1">
      <c r="A99" s="945"/>
      <c r="B99" s="2078" t="s">
        <v>181</v>
      </c>
      <c r="C99" s="2078"/>
      <c r="D99" s="2078"/>
      <c r="E99" s="2078"/>
      <c r="F99" s="2078"/>
      <c r="G99" s="2078"/>
      <c r="H99" s="2078"/>
      <c r="I99" s="2078"/>
      <c r="J99" s="2078"/>
      <c r="K99" s="2078"/>
      <c r="L99" s="2078"/>
      <c r="M99" s="2078"/>
      <c r="N99" s="2078"/>
      <c r="O99" s="2078"/>
      <c r="P99" s="2078"/>
      <c r="Q99" s="943"/>
    </row>
    <row r="100" spans="1:17">
      <c r="A100" s="942"/>
      <c r="B100" s="2079"/>
      <c r="C100" s="2079"/>
      <c r="D100" s="2079"/>
      <c r="E100" s="2079"/>
      <c r="F100" s="2079"/>
      <c r="G100" s="2079"/>
      <c r="H100" s="2079"/>
      <c r="I100" s="2079"/>
      <c r="J100" s="2079"/>
      <c r="K100" s="2079"/>
      <c r="L100" s="2079"/>
      <c r="M100" s="2079"/>
      <c r="N100" s="2079"/>
      <c r="O100" s="2079"/>
      <c r="P100" s="2079"/>
      <c r="Q100" s="940"/>
    </row>
    <row r="101" spans="1:17">
      <c r="A101" s="942"/>
      <c r="B101" s="2079"/>
      <c r="C101" s="2079"/>
      <c r="D101" s="2079"/>
      <c r="E101" s="2079"/>
      <c r="F101" s="2079"/>
      <c r="G101" s="2079"/>
      <c r="H101" s="2079"/>
      <c r="I101" s="2079"/>
      <c r="J101" s="2079"/>
      <c r="K101" s="2079"/>
      <c r="L101" s="2079"/>
      <c r="M101" s="2079"/>
      <c r="N101" s="2079"/>
      <c r="O101" s="2079"/>
      <c r="P101" s="2079"/>
      <c r="Q101" s="940"/>
    </row>
    <row r="102" spans="1:17" ht="15.75" thickBot="1">
      <c r="A102" s="939"/>
      <c r="B102" s="2080"/>
      <c r="C102" s="2080"/>
      <c r="D102" s="2080"/>
      <c r="E102" s="2080"/>
      <c r="F102" s="2080"/>
      <c r="G102" s="2080"/>
      <c r="H102" s="2080"/>
      <c r="I102" s="2080"/>
      <c r="J102" s="2080"/>
      <c r="K102" s="2080"/>
      <c r="L102" s="2080"/>
      <c r="M102" s="2080"/>
      <c r="N102" s="2080"/>
      <c r="O102" s="2080"/>
      <c r="P102" s="2080"/>
      <c r="Q102" s="938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f ca="1">TODAY()</f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541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166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542</v>
      </c>
      <c r="D28" s="1680"/>
      <c r="E28" s="1680"/>
      <c r="F28" s="1680"/>
      <c r="G28" s="1928"/>
      <c r="H28" s="317"/>
      <c r="I28" s="1681" t="s">
        <v>256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415</v>
      </c>
      <c r="D29" s="345"/>
      <c r="E29" s="345"/>
      <c r="F29" s="115"/>
      <c r="G29" s="116" t="s">
        <v>171</v>
      </c>
      <c r="H29" s="317"/>
      <c r="I29" s="1681"/>
      <c r="J29" s="1682"/>
      <c r="K29" s="1682"/>
      <c r="L29" s="1682"/>
      <c r="M29" s="1682"/>
      <c r="N29" s="1682"/>
      <c r="O29" s="1683"/>
      <c r="P29" s="318"/>
      <c r="Q29" s="440"/>
    </row>
    <row r="30" spans="1:17" ht="9.9499999999999993" customHeight="1">
      <c r="A30" s="316"/>
      <c r="B30" s="351"/>
      <c r="C30" s="587" t="s">
        <v>416</v>
      </c>
      <c r="D30" s="345"/>
      <c r="E30" s="345"/>
      <c r="F30" s="115"/>
      <c r="G30" s="116" t="s">
        <v>172</v>
      </c>
      <c r="H30" s="317"/>
      <c r="I30" s="368"/>
      <c r="J30" s="1664"/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5" style="663" customWidth="1"/>
    <col min="6" max="6" width="39.7109375" style="663" bestFit="1" customWidth="1"/>
    <col min="7" max="7" width="9.42578125" style="663" customWidth="1"/>
    <col min="8" max="13" width="9.7109375" style="663" customWidth="1"/>
    <col min="14" max="14" width="1.7109375" style="663" customWidth="1"/>
    <col min="15" max="17" width="19.140625" style="663" customWidth="1"/>
    <col min="18" max="16384" width="8.7109375" style="663"/>
  </cols>
  <sheetData>
    <row r="1" spans="1:17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customFormat="1" ht="26.25">
      <c r="A2" s="38"/>
      <c r="B2" s="39"/>
      <c r="C2" s="1793" t="s">
        <v>530</v>
      </c>
      <c r="D2" s="1793"/>
      <c r="E2" s="1793"/>
      <c r="F2" s="1793"/>
      <c r="G2" s="1793"/>
      <c r="H2" s="1793"/>
      <c r="I2" s="1793"/>
      <c r="J2" s="1793"/>
      <c r="K2" s="1793"/>
      <c r="L2" s="1793"/>
      <c r="M2" s="1793"/>
    </row>
    <row r="3" spans="1:17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7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O5" s="424"/>
      <c r="P5" s="578" t="s">
        <v>531</v>
      </c>
      <c r="Q5" s="426"/>
    </row>
    <row r="6" spans="1:17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418"/>
      <c r="P6" s="418"/>
      <c r="Q6" s="418"/>
    </row>
    <row r="7" spans="1:17" ht="15.75" customHeight="1" thickBot="1">
      <c r="A7" s="1933" t="s">
        <v>538</v>
      </c>
      <c r="B7" s="1934"/>
      <c r="C7" s="1935"/>
      <c r="D7" s="665"/>
      <c r="E7" s="1933" t="s">
        <v>424</v>
      </c>
      <c r="F7" s="1934"/>
      <c r="G7" s="1934"/>
      <c r="H7" s="1934"/>
      <c r="I7" s="1934"/>
      <c r="J7" s="1934"/>
      <c r="K7" s="1934"/>
      <c r="L7" s="1934"/>
      <c r="M7" s="1934"/>
      <c r="O7" s="441" t="s">
        <v>195</v>
      </c>
      <c r="P7" s="442" t="s">
        <v>196</v>
      </c>
      <c r="Q7" s="442" t="s">
        <v>197</v>
      </c>
    </row>
    <row r="8" spans="1:17" ht="15" thickBot="1">
      <c r="A8" s="708" t="s">
        <v>3</v>
      </c>
      <c r="B8" s="871" t="s">
        <v>539</v>
      </c>
      <c r="C8" s="871" t="s">
        <v>387</v>
      </c>
      <c r="D8" s="666"/>
      <c r="E8" s="873" t="s">
        <v>429</v>
      </c>
      <c r="F8" s="705"/>
      <c r="G8" s="725" t="s">
        <v>474</v>
      </c>
      <c r="H8" s="725" t="s">
        <v>17</v>
      </c>
      <c r="I8" s="725" t="s">
        <v>18</v>
      </c>
      <c r="J8" s="725" t="s">
        <v>19</v>
      </c>
      <c r="K8" s="725" t="s">
        <v>20</v>
      </c>
      <c r="L8" s="725" t="s">
        <v>21</v>
      </c>
      <c r="M8" s="725" t="s">
        <v>22</v>
      </c>
      <c r="O8" s="418"/>
      <c r="P8" s="418"/>
      <c r="Q8" s="418"/>
    </row>
    <row r="9" spans="1:17" ht="15" customHeight="1">
      <c r="A9" s="667">
        <f>margins!CU17</f>
        <v>0</v>
      </c>
      <c r="B9" s="667">
        <f>margins!CV17-margins!$CX$3</f>
        <v>0</v>
      </c>
      <c r="C9" s="667">
        <f>margins!CW17-margins!$CX$3</f>
        <v>0</v>
      </c>
      <c r="D9" s="668"/>
      <c r="E9" s="2153" t="s">
        <v>533</v>
      </c>
      <c r="F9" s="669" t="s">
        <v>111</v>
      </c>
      <c r="G9" s="874">
        <v>0.25</v>
      </c>
      <c r="H9" s="875">
        <v>0</v>
      </c>
      <c r="I9" s="875">
        <v>-0.125</v>
      </c>
      <c r="J9" s="875">
        <v>-0.375</v>
      </c>
      <c r="K9" s="875">
        <v>-0.375</v>
      </c>
      <c r="L9" s="875">
        <v>-0.625</v>
      </c>
      <c r="M9" s="898">
        <v>-1.875</v>
      </c>
      <c r="O9" s="427" t="s">
        <v>198</v>
      </c>
      <c r="P9" s="431" t="s">
        <v>192</v>
      </c>
      <c r="Q9" s="435"/>
    </row>
    <row r="10" spans="1:17" ht="15" customHeight="1">
      <c r="A10" s="667">
        <f>margins!CU18</f>
        <v>0</v>
      </c>
      <c r="B10" s="667">
        <f>margins!CV18-margins!$CX$3</f>
        <v>0</v>
      </c>
      <c r="C10" s="667">
        <f>margins!CW18-margins!$CX$3</f>
        <v>0</v>
      </c>
      <c r="D10" s="668"/>
      <c r="E10" s="2154"/>
      <c r="F10" s="670" t="s">
        <v>292</v>
      </c>
      <c r="G10" s="716">
        <v>0.125</v>
      </c>
      <c r="H10" s="714">
        <v>-0.125</v>
      </c>
      <c r="I10" s="714">
        <v>-0.25</v>
      </c>
      <c r="J10" s="714">
        <v>-0.5</v>
      </c>
      <c r="K10" s="714">
        <v>-0.5</v>
      </c>
      <c r="L10" s="714">
        <v>-0.875</v>
      </c>
      <c r="M10" s="721">
        <v>-2.375</v>
      </c>
      <c r="O10" s="428" t="s">
        <v>199</v>
      </c>
      <c r="P10" s="432">
        <v>7.4989999999999997</v>
      </c>
      <c r="Q10" s="436" t="e">
        <f>IF(P9="7/6 Arm",VLOOKUP(P10,$A$8:$C$25,3,FALSE),IF(P9="5/6 Arm",VLOOKUP(P10,$A$8:$C$25,2,FALSE),VLOOKUP(P10,$A$8:$C$25,4,FALSE)))</f>
        <v>#N/A</v>
      </c>
    </row>
    <row r="11" spans="1:17" ht="15">
      <c r="A11" s="667">
        <f>margins!CU19</f>
        <v>0</v>
      </c>
      <c r="B11" s="667">
        <f>margins!CV19-margins!$CX$3</f>
        <v>0</v>
      </c>
      <c r="C11" s="667">
        <f>margins!CW19-margins!$CX$3</f>
        <v>0</v>
      </c>
      <c r="D11" s="668"/>
      <c r="E11" s="2154"/>
      <c r="F11" s="670" t="s">
        <v>291</v>
      </c>
      <c r="G11" s="716">
        <v>-0.125</v>
      </c>
      <c r="H11" s="714">
        <v>-0.25</v>
      </c>
      <c r="I11" s="714">
        <v>-0.375</v>
      </c>
      <c r="J11" s="714">
        <v>-0.75</v>
      </c>
      <c r="K11" s="714">
        <v>-0.75</v>
      </c>
      <c r="L11" s="714">
        <v>-1</v>
      </c>
      <c r="M11" s="721">
        <v>-2.375</v>
      </c>
      <c r="O11" s="428" t="s">
        <v>353</v>
      </c>
      <c r="P11" s="432" t="s">
        <v>15</v>
      </c>
      <c r="Q11" s="436"/>
    </row>
    <row r="12" spans="1:17" ht="15">
      <c r="A12" s="667">
        <f>margins!CU20</f>
        <v>0</v>
      </c>
      <c r="B12" s="667">
        <f>margins!CV20-margins!$CX$3</f>
        <v>0</v>
      </c>
      <c r="C12" s="667">
        <f>margins!CW20-margins!$CX$3</f>
        <v>0</v>
      </c>
      <c r="D12" s="668"/>
      <c r="E12" s="2154"/>
      <c r="F12" s="670" t="s">
        <v>393</v>
      </c>
      <c r="G12" s="716">
        <v>-0.25</v>
      </c>
      <c r="H12" s="714">
        <v>-0.375</v>
      </c>
      <c r="I12" s="714">
        <v>-0.5</v>
      </c>
      <c r="J12" s="714">
        <v>-0.75</v>
      </c>
      <c r="K12" s="714">
        <v>-1.25</v>
      </c>
      <c r="L12" s="714">
        <v>-1.375</v>
      </c>
      <c r="M12" s="721">
        <v>-3.25</v>
      </c>
      <c r="O12" s="428" t="s">
        <v>200</v>
      </c>
      <c r="P12" s="432" t="s">
        <v>291</v>
      </c>
      <c r="Q12" s="436">
        <f>IFERROR(INDEX($G$9:$M$13,MATCH(P12,$F$9:$F$13,0),MATCH($P$11,$G$8:$M$8,0),1),0)</f>
        <v>0</v>
      </c>
    </row>
    <row r="13" spans="1:17" ht="15">
      <c r="A13" s="667">
        <f>margins!CU21</f>
        <v>0</v>
      </c>
      <c r="B13" s="667">
        <f>margins!CV21-margins!$CX$3</f>
        <v>0</v>
      </c>
      <c r="C13" s="667">
        <f>margins!CW21-margins!$CX$3</f>
        <v>0</v>
      </c>
      <c r="D13" s="668"/>
      <c r="E13" s="2154"/>
      <c r="F13" s="670" t="s">
        <v>289</v>
      </c>
      <c r="G13" s="716">
        <v>-0.375</v>
      </c>
      <c r="H13" s="714">
        <v>-0.75</v>
      </c>
      <c r="I13" s="714">
        <v>-0.875</v>
      </c>
      <c r="J13" s="714">
        <v>-1.25</v>
      </c>
      <c r="K13" s="714">
        <v>-1.5</v>
      </c>
      <c r="L13" s="714">
        <v>-2.125</v>
      </c>
      <c r="M13" s="721" t="s">
        <v>475</v>
      </c>
      <c r="O13" s="428" t="s">
        <v>429</v>
      </c>
      <c r="P13" s="432" t="s">
        <v>191</v>
      </c>
      <c r="Q13" s="436">
        <f t="shared" ref="Q13:Q19" si="0">IFERROR(INDEX($G$25:$M$29,MATCH(P13,$F$25:$F$29,0),MATCH($P$11,$G$23:$M$23,0),1),0)</f>
        <v>0</v>
      </c>
    </row>
    <row r="14" spans="1:17" ht="15.75" thickBot="1">
      <c r="A14" s="667">
        <f>margins!CU22</f>
        <v>0</v>
      </c>
      <c r="B14" s="667">
        <f>margins!CV22-margins!$CX$3</f>
        <v>0</v>
      </c>
      <c r="C14" s="667">
        <f>margins!CW22-margins!$CX$3</f>
        <v>0</v>
      </c>
      <c r="D14" s="668"/>
      <c r="E14" s="2155"/>
      <c r="F14" s="670" t="s">
        <v>288</v>
      </c>
      <c r="G14" s="716">
        <v>-1</v>
      </c>
      <c r="H14" s="714">
        <v>-1.25</v>
      </c>
      <c r="I14" s="714">
        <v>-1.625</v>
      </c>
      <c r="J14" s="714">
        <v>-2.125</v>
      </c>
      <c r="K14" s="714">
        <v>-2.75</v>
      </c>
      <c r="L14" s="714">
        <v>-3.25</v>
      </c>
      <c r="M14" s="721" t="s">
        <v>475</v>
      </c>
      <c r="O14" s="428" t="s">
        <v>63</v>
      </c>
      <c r="P14" s="432" t="s">
        <v>191</v>
      </c>
      <c r="Q14" s="436">
        <f t="shared" si="0"/>
        <v>0</v>
      </c>
    </row>
    <row r="15" spans="1:17" ht="15" customHeight="1">
      <c r="A15" s="667">
        <f>margins!CU23</f>
        <v>0</v>
      </c>
      <c r="B15" s="667">
        <f>margins!CV23-margins!$CX$3</f>
        <v>0</v>
      </c>
      <c r="C15" s="667">
        <f>margins!CW23-margins!$CX$3</f>
        <v>0</v>
      </c>
      <c r="D15" s="668"/>
      <c r="E15" s="2153" t="s">
        <v>532</v>
      </c>
      <c r="F15" s="669" t="s">
        <v>111</v>
      </c>
      <c r="G15" s="874">
        <v>0.125</v>
      </c>
      <c r="H15" s="875">
        <v>0</v>
      </c>
      <c r="I15" s="875">
        <v>-0.125</v>
      </c>
      <c r="J15" s="875">
        <v>-0.5</v>
      </c>
      <c r="K15" s="875">
        <v>-0.5</v>
      </c>
      <c r="L15" s="875">
        <v>-0.75</v>
      </c>
      <c r="M15" s="898" t="s">
        <v>475</v>
      </c>
      <c r="O15" s="428" t="s">
        <v>418</v>
      </c>
      <c r="P15" s="432" t="s">
        <v>191</v>
      </c>
      <c r="Q15" s="436">
        <f t="shared" si="0"/>
        <v>0</v>
      </c>
    </row>
    <row r="16" spans="1:17" ht="15">
      <c r="A16" s="667">
        <f>margins!CU24</f>
        <v>0</v>
      </c>
      <c r="B16" s="667">
        <f>margins!CV24-margins!$CX$3</f>
        <v>0</v>
      </c>
      <c r="C16" s="667">
        <f>margins!CW24-margins!$CX$3</f>
        <v>0</v>
      </c>
      <c r="D16" s="668"/>
      <c r="E16" s="2154"/>
      <c r="F16" s="670" t="s">
        <v>292</v>
      </c>
      <c r="G16" s="716">
        <v>0</v>
      </c>
      <c r="H16" s="714">
        <v>-0.125</v>
      </c>
      <c r="I16" s="714">
        <v>-0.25</v>
      </c>
      <c r="J16" s="714">
        <v>-0.625</v>
      </c>
      <c r="K16" s="714">
        <v>-0.625</v>
      </c>
      <c r="L16" s="714">
        <v>-1</v>
      </c>
      <c r="M16" s="721" t="s">
        <v>475</v>
      </c>
      <c r="O16" s="428" t="s">
        <v>45</v>
      </c>
      <c r="P16" s="432" t="s">
        <v>191</v>
      </c>
      <c r="Q16" s="436">
        <f t="shared" si="0"/>
        <v>0</v>
      </c>
    </row>
    <row r="17" spans="1:17" ht="15" customHeight="1">
      <c r="A17" s="667">
        <f>margins!CU25</f>
        <v>0</v>
      </c>
      <c r="B17" s="667">
        <f>margins!CV25-margins!$CX$3</f>
        <v>0</v>
      </c>
      <c r="C17" s="667">
        <f>margins!CW25-margins!$CX$3</f>
        <v>0</v>
      </c>
      <c r="D17" s="677"/>
      <c r="E17" s="2154"/>
      <c r="F17" s="670" t="s">
        <v>291</v>
      </c>
      <c r="G17" s="716">
        <v>-0.125</v>
      </c>
      <c r="H17" s="714">
        <v>-0.125</v>
      </c>
      <c r="I17" s="714">
        <v>-0.375</v>
      </c>
      <c r="J17" s="714">
        <v>-0.75</v>
      </c>
      <c r="K17" s="714">
        <v>-0.75</v>
      </c>
      <c r="L17" s="714">
        <v>-1.125</v>
      </c>
      <c r="M17" s="721" t="s">
        <v>475</v>
      </c>
      <c r="O17" s="428" t="s">
        <v>348</v>
      </c>
      <c r="P17" s="432" t="s">
        <v>191</v>
      </c>
      <c r="Q17" s="436">
        <f t="shared" si="0"/>
        <v>0</v>
      </c>
    </row>
    <row r="18" spans="1:17" ht="15" customHeight="1">
      <c r="A18" s="667">
        <f>margins!CU26</f>
        <v>0</v>
      </c>
      <c r="B18" s="667">
        <f>margins!CV26-margins!$CX$3</f>
        <v>0</v>
      </c>
      <c r="C18" s="667">
        <f>margins!CW26-margins!$CX$3</f>
        <v>0</v>
      </c>
      <c r="D18" s="668"/>
      <c r="E18" s="2154"/>
      <c r="F18" s="670" t="s">
        <v>393</v>
      </c>
      <c r="G18" s="716">
        <v>-0.125</v>
      </c>
      <c r="H18" s="714">
        <v>-0.375</v>
      </c>
      <c r="I18" s="714">
        <v>-0.5</v>
      </c>
      <c r="J18" s="714">
        <v>-0.875</v>
      </c>
      <c r="K18" s="714">
        <v>-1.25</v>
      </c>
      <c r="L18" s="714">
        <v>-1.5</v>
      </c>
      <c r="M18" s="721" t="s">
        <v>475</v>
      </c>
      <c r="O18" s="428" t="s">
        <v>419</v>
      </c>
      <c r="P18" s="432" t="s">
        <v>191</v>
      </c>
      <c r="Q18" s="436">
        <f t="shared" si="0"/>
        <v>0</v>
      </c>
    </row>
    <row r="19" spans="1:17" ht="15" customHeight="1">
      <c r="A19" s="667">
        <f>margins!CU27</f>
        <v>0</v>
      </c>
      <c r="B19" s="667">
        <f>margins!CV27-margins!$CX$3</f>
        <v>0</v>
      </c>
      <c r="C19" s="667">
        <f>margins!CW27-margins!$CX$3</f>
        <v>0</v>
      </c>
      <c r="D19" s="668"/>
      <c r="E19" s="2154"/>
      <c r="F19" s="670" t="s">
        <v>289</v>
      </c>
      <c r="G19" s="716">
        <v>-0.625</v>
      </c>
      <c r="H19" s="714">
        <v>-0.75</v>
      </c>
      <c r="I19" s="714">
        <v>-0.75</v>
      </c>
      <c r="J19" s="714">
        <v>-1.125</v>
      </c>
      <c r="K19" s="714">
        <v>-1.75</v>
      </c>
      <c r="L19" s="714" t="s">
        <v>475</v>
      </c>
      <c r="M19" s="721" t="s">
        <v>475</v>
      </c>
      <c r="O19" s="428" t="s">
        <v>420</v>
      </c>
      <c r="P19" s="432" t="s">
        <v>191</v>
      </c>
      <c r="Q19" s="436">
        <f t="shared" si="0"/>
        <v>0</v>
      </c>
    </row>
    <row r="20" spans="1:17" ht="15" customHeight="1" thickBot="1">
      <c r="A20" s="667">
        <f>margins!CU28</f>
        <v>0</v>
      </c>
      <c r="B20" s="667">
        <f>margins!CV28-margins!$CX$3</f>
        <v>0</v>
      </c>
      <c r="C20" s="667">
        <f>margins!CW28-margins!$CX$3</f>
        <v>0</v>
      </c>
      <c r="D20" s="668"/>
      <c r="E20" s="2155"/>
      <c r="F20" s="672" t="s">
        <v>288</v>
      </c>
      <c r="G20" s="718">
        <v>-1</v>
      </c>
      <c r="H20" s="719">
        <v>-1.25</v>
      </c>
      <c r="I20" s="719">
        <v>-1.625</v>
      </c>
      <c r="J20" s="719">
        <v>-2.125</v>
      </c>
      <c r="K20" s="719">
        <v>-2.75</v>
      </c>
      <c r="L20" s="719" t="s">
        <v>475</v>
      </c>
      <c r="M20" s="720" t="s">
        <v>475</v>
      </c>
      <c r="O20" s="428" t="s">
        <v>205</v>
      </c>
      <c r="P20" s="432">
        <v>30</v>
      </c>
      <c r="Q20" s="436">
        <f>IF(P20=15,0,IF(P20=30,Q28))</f>
        <v>-0.375</v>
      </c>
    </row>
    <row r="21" spans="1:17" ht="15" customHeight="1" thickBot="1">
      <c r="A21" s="667">
        <f>margins!CU29</f>
        <v>0</v>
      </c>
      <c r="B21" s="667">
        <f>margins!CV29-margins!$CX$3</f>
        <v>0</v>
      </c>
      <c r="C21" s="667">
        <f>margins!CW29-margins!$CX$3</f>
        <v>0</v>
      </c>
      <c r="D21" s="668"/>
      <c r="O21" s="429" t="s">
        <v>206</v>
      </c>
      <c r="P21" s="433"/>
      <c r="Q21" s="437">
        <f>Q12+Q13+Q14+Q15+Q16+Q17+Q18+Q19+Q20</f>
        <v>-0.375</v>
      </c>
    </row>
    <row r="22" spans="1:17" ht="15" customHeight="1" thickBot="1">
      <c r="A22" s="667">
        <f>margins!CU30</f>
        <v>0</v>
      </c>
      <c r="B22" s="667">
        <f>margins!CV30-margins!$CX$3</f>
        <v>0</v>
      </c>
      <c r="C22" s="667">
        <f>margins!CW30-margins!$CX$3</f>
        <v>0</v>
      </c>
      <c r="D22" s="668"/>
      <c r="E22" s="2152" t="s">
        <v>398</v>
      </c>
      <c r="F22" s="2152"/>
      <c r="G22" s="2152"/>
      <c r="H22" s="2152"/>
      <c r="I22" s="2152"/>
      <c r="J22" s="2152"/>
      <c r="K22" s="2152"/>
      <c r="L22" s="2152"/>
      <c r="M22" s="2152"/>
      <c r="O22" s="420"/>
      <c r="P22" s="421"/>
      <c r="Q22" s="430"/>
    </row>
    <row r="23" spans="1:17" ht="15" customHeight="1" thickBot="1">
      <c r="A23" s="667">
        <f>margins!CU31</f>
        <v>0</v>
      </c>
      <c r="B23" s="667">
        <f>margins!CV31-margins!$CX$3</f>
        <v>0</v>
      </c>
      <c r="C23" s="667">
        <f>margins!CW31-margins!$CX$3</f>
        <v>0</v>
      </c>
      <c r="D23" s="668"/>
      <c r="E23" s="706"/>
      <c r="F23" s="892" t="s">
        <v>298</v>
      </c>
      <c r="G23" s="725" t="s">
        <v>474</v>
      </c>
      <c r="H23" s="725" t="s">
        <v>17</v>
      </c>
      <c r="I23" s="725" t="s">
        <v>18</v>
      </c>
      <c r="J23" s="725" t="s">
        <v>19</v>
      </c>
      <c r="K23" s="725" t="s">
        <v>20</v>
      </c>
      <c r="L23" s="725" t="s">
        <v>21</v>
      </c>
      <c r="M23" s="725" t="s">
        <v>22</v>
      </c>
      <c r="O23" s="422" t="s">
        <v>207</v>
      </c>
      <c r="P23" s="423"/>
      <c r="Q23" s="584" t="e">
        <f>MIN(Q21+Q10,Q30)</f>
        <v>#N/A</v>
      </c>
    </row>
    <row r="24" spans="1:17" ht="15" customHeight="1" thickBot="1">
      <c r="A24" s="667">
        <f>margins!CU32</f>
        <v>0</v>
      </c>
      <c r="B24" s="667">
        <f>margins!CV32-margins!$CX$3</f>
        <v>0</v>
      </c>
      <c r="C24" s="667">
        <f>margins!CW32-margins!$CX$3</f>
        <v>0</v>
      </c>
      <c r="D24" s="668"/>
      <c r="E24" s="895" t="s">
        <v>534</v>
      </c>
      <c r="F24" s="872" t="s">
        <v>535</v>
      </c>
      <c r="G24" s="718">
        <v>0</v>
      </c>
      <c r="H24" s="718">
        <v>0</v>
      </c>
      <c r="I24" s="718">
        <v>0</v>
      </c>
      <c r="J24" s="718">
        <v>0</v>
      </c>
      <c r="K24" s="718">
        <v>-0.125</v>
      </c>
      <c r="L24" s="718">
        <v>-0.125</v>
      </c>
      <c r="M24" s="718">
        <v>-0.375</v>
      </c>
      <c r="O24" s="417"/>
      <c r="P24" s="417"/>
      <c r="Q24" s="417"/>
    </row>
    <row r="25" spans="1:17" ht="15.75" customHeight="1" thickBot="1">
      <c r="A25" s="667">
        <f>margins!CU33</f>
        <v>0</v>
      </c>
      <c r="B25" s="667">
        <f>margins!CV33-margins!$CX$3</f>
        <v>0</v>
      </c>
      <c r="C25" s="667">
        <f>margins!CW33-margins!$CX$3</f>
        <v>0</v>
      </c>
      <c r="D25" s="668"/>
      <c r="E25" s="2156" t="s">
        <v>279</v>
      </c>
      <c r="F25" s="894" t="s">
        <v>543</v>
      </c>
      <c r="G25" s="874">
        <v>-0.5</v>
      </c>
      <c r="H25" s="874">
        <v>-0.75</v>
      </c>
      <c r="I25" s="874">
        <v>-0.75</v>
      </c>
      <c r="J25" s="874">
        <v>-0.75</v>
      </c>
      <c r="K25" s="874">
        <v>-1</v>
      </c>
      <c r="L25" s="874">
        <v>-1</v>
      </c>
      <c r="M25" s="874">
        <v>-1</v>
      </c>
      <c r="O25" s="746" t="s">
        <v>537</v>
      </c>
      <c r="P25" s="747"/>
      <c r="Q25" s="748"/>
    </row>
    <row r="26" spans="1:17" ht="15" customHeight="1" thickBot="1">
      <c r="A26" s="667">
        <f>margins!CU34</f>
        <v>0</v>
      </c>
      <c r="B26" s="667">
        <f>margins!CV34-margins!$CX$3</f>
        <v>0</v>
      </c>
      <c r="C26" s="667">
        <f>margins!CW34-margins!$CX$3</f>
        <v>0</v>
      </c>
      <c r="D26" s="668"/>
      <c r="E26" s="2157"/>
      <c r="F26" s="872" t="s">
        <v>544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</row>
    <row r="27" spans="1:17" ht="15" customHeight="1" thickBot="1">
      <c r="A27" s="667">
        <f>margins!CU35</f>
        <v>0</v>
      </c>
      <c r="B27" s="667">
        <f>margins!CV35-margins!$CX$3</f>
        <v>0</v>
      </c>
      <c r="C27" s="667">
        <f>margins!CW35-margins!$CX$3</f>
        <v>0</v>
      </c>
      <c r="D27" s="668"/>
      <c r="E27" s="2158" t="s">
        <v>68</v>
      </c>
      <c r="F27" s="877" t="s">
        <v>526</v>
      </c>
      <c r="G27" s="713">
        <v>-0.25</v>
      </c>
      <c r="H27" s="713">
        <v>-0.25</v>
      </c>
      <c r="I27" s="713">
        <v>-0.25</v>
      </c>
      <c r="J27" s="713">
        <v>-0.25</v>
      </c>
      <c r="K27" s="713">
        <v>-0.25</v>
      </c>
      <c r="L27" s="713">
        <v>-0.5</v>
      </c>
      <c r="M27" s="713">
        <v>-0.625</v>
      </c>
      <c r="O27" s="698"/>
      <c r="P27" s="699" t="s">
        <v>410</v>
      </c>
      <c r="Q27" s="876" t="s">
        <v>411</v>
      </c>
    </row>
    <row r="28" spans="1:17" ht="15" customHeight="1" thickBot="1">
      <c r="A28" s="667">
        <f>margins!CU36</f>
        <v>0</v>
      </c>
      <c r="B28" s="667">
        <f>margins!CV36-margins!$CX$3</f>
        <v>0</v>
      </c>
      <c r="C28" s="667">
        <f>margins!CW36-margins!$CX$3</f>
        <v>0</v>
      </c>
      <c r="D28" s="668"/>
      <c r="E28" s="2158"/>
      <c r="F28" s="682" t="s">
        <v>269</v>
      </c>
      <c r="G28" s="716">
        <v>-0.375</v>
      </c>
      <c r="H28" s="716">
        <v>-0.5</v>
      </c>
      <c r="I28" s="716">
        <v>-0.625</v>
      </c>
      <c r="J28" s="716">
        <v>-0.75</v>
      </c>
      <c r="K28" s="716">
        <v>-0.875</v>
      </c>
      <c r="L28" s="716">
        <v>-1.25</v>
      </c>
      <c r="M28" s="716" t="s">
        <v>475</v>
      </c>
      <c r="O28" s="722" t="s">
        <v>205</v>
      </c>
      <c r="P28" s="723">
        <v>30</v>
      </c>
      <c r="Q28" s="724">
        <v>-0.375</v>
      </c>
    </row>
    <row r="29" spans="1:17" ht="15" customHeight="1" thickBot="1">
      <c r="A29" s="667">
        <f>margins!CU37</f>
        <v>0</v>
      </c>
      <c r="B29" s="667">
        <f>margins!CV37-margins!$CX$3</f>
        <v>0</v>
      </c>
      <c r="C29" s="667">
        <f>margins!CW37-margins!$CX$3</f>
        <v>0</v>
      </c>
      <c r="D29" s="686"/>
      <c r="E29" s="2158"/>
      <c r="F29" s="682" t="s">
        <v>267</v>
      </c>
      <c r="G29" s="716">
        <v>-0.125</v>
      </c>
      <c r="H29" s="716">
        <v>-0.125</v>
      </c>
      <c r="I29" s="716">
        <v>-0.125</v>
      </c>
      <c r="J29" s="716">
        <v>-0.125</v>
      </c>
      <c r="K29" s="716">
        <v>-0.25</v>
      </c>
      <c r="L29" s="716" t="s">
        <v>475</v>
      </c>
      <c r="M29" s="716" t="s">
        <v>475</v>
      </c>
    </row>
    <row r="30" spans="1:17" ht="15" customHeight="1" thickBot="1">
      <c r="A30" s="667">
        <f>margins!CU38</f>
        <v>0</v>
      </c>
      <c r="B30" s="667">
        <f>margins!CV38-margins!$CX$3</f>
        <v>0</v>
      </c>
      <c r="C30" s="667">
        <f>margins!CW38-margins!$CX$3</f>
        <v>0</v>
      </c>
      <c r="D30" s="691"/>
      <c r="E30" s="2158"/>
      <c r="F30" s="682" t="s">
        <v>527</v>
      </c>
      <c r="G30" s="716">
        <v>-0.125</v>
      </c>
      <c r="H30" s="716">
        <v>-0.125</v>
      </c>
      <c r="I30" s="716">
        <v>-0.125</v>
      </c>
      <c r="J30" s="716">
        <v>-0.125</v>
      </c>
      <c r="K30" s="716">
        <v>-0.25</v>
      </c>
      <c r="L30" s="716" t="s">
        <v>475</v>
      </c>
      <c r="M30" s="716" t="s">
        <v>475</v>
      </c>
      <c r="O30" s="693" t="s">
        <v>412</v>
      </c>
      <c r="P30" s="694"/>
      <c r="Q30" s="712">
        <v>101</v>
      </c>
    </row>
    <row r="31" spans="1:17" ht="15" customHeight="1">
      <c r="A31" s="667">
        <f>margins!CU39</f>
        <v>0</v>
      </c>
      <c r="B31" s="667">
        <f>margins!CV39-margins!$CX$3</f>
        <v>0</v>
      </c>
      <c r="C31" s="667">
        <f>margins!CW39-margins!$CX$3</f>
        <v>0</v>
      </c>
      <c r="D31" s="691"/>
      <c r="E31" s="2158"/>
      <c r="F31" s="682" t="s">
        <v>63</v>
      </c>
      <c r="G31" s="716">
        <v>-0.25</v>
      </c>
      <c r="H31" s="716">
        <v>-0.25</v>
      </c>
      <c r="I31" s="716">
        <v>-0.25</v>
      </c>
      <c r="J31" s="716">
        <v>-0.25</v>
      </c>
      <c r="K31" s="716">
        <v>-0.25</v>
      </c>
      <c r="L31" s="716">
        <v>-0.25</v>
      </c>
      <c r="M31" s="716" t="s">
        <v>475</v>
      </c>
    </row>
    <row r="32" spans="1:17" ht="15" customHeight="1">
      <c r="A32" s="667">
        <f>margins!CU40</f>
        <v>0</v>
      </c>
      <c r="B32" s="667">
        <f>margins!CV40-margins!$CX$3</f>
        <v>0</v>
      </c>
      <c r="C32" s="667">
        <f>margins!CW40-margins!$CX$3</f>
        <v>0</v>
      </c>
      <c r="E32" s="2158"/>
      <c r="F32" s="682" t="s">
        <v>418</v>
      </c>
      <c r="G32" s="716">
        <v>-0.375</v>
      </c>
      <c r="H32" s="716">
        <v>-0.375</v>
      </c>
      <c r="I32" s="716">
        <v>-0.375</v>
      </c>
      <c r="J32" s="716">
        <v>-0.375</v>
      </c>
      <c r="K32" s="716">
        <v>-0.375</v>
      </c>
      <c r="L32" s="716" t="s">
        <v>475</v>
      </c>
      <c r="M32" s="716" t="s">
        <v>475</v>
      </c>
    </row>
    <row r="33" spans="1:17" ht="15" customHeight="1" thickBot="1">
      <c r="A33" s="897">
        <f>margins!CU41</f>
        <v>0</v>
      </c>
      <c r="B33" s="897">
        <f>margins!CV41-margins!$CX$3</f>
        <v>0</v>
      </c>
      <c r="C33" s="897">
        <f>margins!CW41-margins!$CX$3</f>
        <v>0</v>
      </c>
      <c r="E33" s="2158"/>
      <c r="F33" s="682" t="s">
        <v>528</v>
      </c>
      <c r="G33" s="716">
        <v>-0.25</v>
      </c>
      <c r="H33" s="716">
        <v>-0.25</v>
      </c>
      <c r="I33" s="716">
        <v>-0.25</v>
      </c>
      <c r="J33" s="716">
        <v>-0.25</v>
      </c>
      <c r="K33" s="716">
        <v>-0.5</v>
      </c>
      <c r="L33" s="716">
        <v>-0.625</v>
      </c>
      <c r="M33" s="716" t="s">
        <v>475</v>
      </c>
    </row>
    <row r="34" spans="1:17" ht="15.75" customHeight="1">
      <c r="E34" s="2158"/>
      <c r="F34" s="682" t="s">
        <v>529</v>
      </c>
      <c r="G34" s="716">
        <v>-0.5</v>
      </c>
      <c r="H34" s="716">
        <v>-0.5</v>
      </c>
      <c r="I34" s="716">
        <v>-0.5</v>
      </c>
      <c r="J34" s="716">
        <v>-0.5</v>
      </c>
      <c r="K34" s="716">
        <v>-0.75</v>
      </c>
      <c r="L34" s="716">
        <v>-0.75</v>
      </c>
      <c r="M34" s="716" t="s">
        <v>475</v>
      </c>
    </row>
    <row r="35" spans="1:17" ht="15.75" customHeight="1">
      <c r="E35" s="2158"/>
      <c r="F35" s="682" t="s">
        <v>540</v>
      </c>
      <c r="G35" s="716">
        <v>-0.25</v>
      </c>
      <c r="H35" s="716">
        <v>-0.25</v>
      </c>
      <c r="I35" s="716">
        <v>-0.25</v>
      </c>
      <c r="J35" s="716">
        <v>-0.25</v>
      </c>
      <c r="K35" s="716">
        <v>-0.25</v>
      </c>
      <c r="L35" s="716">
        <v>-0.25</v>
      </c>
      <c r="M35" s="716">
        <v>-0.25</v>
      </c>
    </row>
    <row r="36" spans="1:17" ht="15.75" customHeight="1" thickBot="1">
      <c r="E36" s="2158"/>
      <c r="F36" s="886" t="s">
        <v>536</v>
      </c>
      <c r="G36" s="887">
        <v>0</v>
      </c>
      <c r="H36" s="887">
        <v>0</v>
      </c>
      <c r="I36" s="887">
        <v>0</v>
      </c>
      <c r="J36" s="887">
        <v>0</v>
      </c>
      <c r="K36" s="887">
        <v>0</v>
      </c>
      <c r="L36" s="887">
        <v>0</v>
      </c>
      <c r="M36" s="887">
        <v>-0.25</v>
      </c>
    </row>
    <row r="37" spans="1:17" ht="15.75" customHeight="1">
      <c r="E37" s="889"/>
      <c r="F37" s="890"/>
      <c r="G37" s="891"/>
      <c r="H37" s="891"/>
      <c r="I37" s="891"/>
      <c r="J37" s="891"/>
      <c r="K37" s="891"/>
      <c r="L37" s="891"/>
      <c r="M37" s="891"/>
    </row>
    <row r="38" spans="1:17" ht="15.75" customHeight="1">
      <c r="E38" s="893"/>
      <c r="F38" s="882"/>
      <c r="G38" s="674"/>
      <c r="H38" s="674"/>
      <c r="I38" s="674"/>
      <c r="J38" s="674"/>
      <c r="K38" s="674"/>
      <c r="L38" s="674"/>
      <c r="M38" s="674"/>
    </row>
    <row r="39" spans="1:17" ht="15.75" customHeight="1">
      <c r="E39" s="893"/>
      <c r="F39" s="882"/>
      <c r="G39" s="674"/>
      <c r="H39" s="674"/>
      <c r="I39" s="674"/>
      <c r="J39" s="674"/>
      <c r="K39" s="674"/>
      <c r="L39" s="674"/>
      <c r="M39" s="674"/>
      <c r="O39" s="2150"/>
      <c r="P39" s="2150"/>
      <c r="Q39" s="878"/>
    </row>
    <row r="40" spans="1:17" ht="15.75">
      <c r="E40" s="893"/>
      <c r="F40" s="882"/>
      <c r="G40" s="674"/>
      <c r="H40" s="674"/>
      <c r="I40" s="674"/>
      <c r="J40" s="674"/>
      <c r="K40" s="674"/>
      <c r="L40" s="674"/>
      <c r="M40" s="674"/>
      <c r="O40" s="879"/>
      <c r="P40" s="880"/>
      <c r="Q40" s="881"/>
    </row>
    <row r="41" spans="1:17" ht="15" customHeight="1">
      <c r="E41" s="893"/>
      <c r="F41" s="882"/>
      <c r="G41" s="674"/>
      <c r="H41" s="674"/>
      <c r="I41" s="674"/>
      <c r="J41" s="674"/>
      <c r="K41" s="674"/>
      <c r="L41" s="674"/>
      <c r="M41" s="674"/>
      <c r="Q41" s="885"/>
    </row>
    <row r="42" spans="1:17" ht="15" customHeight="1">
      <c r="E42" s="888"/>
      <c r="F42" s="882"/>
      <c r="G42" s="674"/>
      <c r="H42" s="674"/>
      <c r="I42" s="674"/>
      <c r="J42" s="674"/>
      <c r="K42" s="674"/>
      <c r="L42" s="674"/>
      <c r="M42" s="674"/>
    </row>
    <row r="43" spans="1:17" ht="15" customHeight="1">
      <c r="E43" s="888"/>
    </row>
    <row r="44" spans="1:17" ht="15" customHeight="1">
      <c r="F44" s="2151"/>
      <c r="G44" s="2151"/>
      <c r="H44" s="2151"/>
      <c r="I44" s="2151"/>
      <c r="J44" s="2151"/>
      <c r="K44" s="2151"/>
      <c r="L44" s="2151"/>
      <c r="M44" s="2151"/>
    </row>
    <row r="45" spans="1:17" ht="15" customHeight="1">
      <c r="F45" s="883"/>
      <c r="G45" s="884"/>
      <c r="H45" s="884"/>
      <c r="I45" s="884"/>
      <c r="J45" s="884"/>
      <c r="K45" s="884"/>
      <c r="L45" s="884"/>
      <c r="M45" s="884"/>
    </row>
    <row r="46" spans="1:17" ht="15" customHeight="1">
      <c r="F46" s="882"/>
      <c r="G46" s="674"/>
      <c r="H46" s="674"/>
      <c r="I46" s="674"/>
      <c r="J46" s="674"/>
      <c r="K46" s="674"/>
      <c r="L46" s="674"/>
      <c r="M46" s="674"/>
    </row>
    <row r="47" spans="1:17" ht="15" customHeight="1">
      <c r="F47" s="882"/>
      <c r="G47" s="674"/>
      <c r="H47" s="674"/>
      <c r="I47" s="674"/>
      <c r="J47" s="674"/>
      <c r="K47" s="674"/>
      <c r="L47" s="674"/>
      <c r="M47" s="674"/>
    </row>
    <row r="48" spans="1:17">
      <c r="F48" s="882"/>
      <c r="G48" s="674"/>
      <c r="H48" s="674"/>
      <c r="I48" s="674"/>
      <c r="J48" s="674"/>
      <c r="K48" s="674"/>
      <c r="L48" s="674"/>
      <c r="M48" s="674"/>
    </row>
    <row r="49" spans="6:13">
      <c r="F49" s="882"/>
      <c r="G49" s="674"/>
      <c r="H49" s="674"/>
      <c r="I49" s="674"/>
      <c r="J49" s="674"/>
      <c r="K49" s="674"/>
      <c r="L49" s="674"/>
      <c r="M49" s="674"/>
    </row>
    <row r="50" spans="6:13">
      <c r="F50" s="882"/>
      <c r="G50" s="674"/>
      <c r="H50" s="674"/>
      <c r="I50" s="674"/>
      <c r="J50" s="674"/>
      <c r="K50" s="674"/>
      <c r="L50" s="674"/>
      <c r="M50" s="674"/>
    </row>
    <row r="51" spans="6:13">
      <c r="F51" s="882"/>
      <c r="G51" s="674"/>
      <c r="H51" s="674"/>
      <c r="I51" s="674"/>
      <c r="J51" s="674"/>
      <c r="K51" s="674"/>
      <c r="L51" s="674"/>
      <c r="M51" s="674"/>
    </row>
    <row r="52" spans="6:13">
      <c r="F52" s="882"/>
      <c r="G52" s="674"/>
      <c r="H52" s="674"/>
      <c r="I52" s="674"/>
      <c r="J52" s="674"/>
      <c r="K52" s="674"/>
      <c r="L52" s="674"/>
      <c r="M52" s="674"/>
    </row>
    <row r="53" spans="6:13">
      <c r="F53" s="882"/>
      <c r="G53" s="674"/>
      <c r="H53" s="674"/>
      <c r="I53" s="674"/>
      <c r="J53" s="674"/>
      <c r="K53" s="674"/>
      <c r="L53" s="674"/>
      <c r="M53" s="674"/>
    </row>
    <row r="54" spans="6:13">
      <c r="F54" s="882"/>
      <c r="G54" s="674"/>
      <c r="H54" s="674"/>
      <c r="I54" s="674"/>
      <c r="J54" s="674"/>
      <c r="K54" s="674"/>
      <c r="L54" s="674"/>
      <c r="M54" s="674"/>
    </row>
    <row r="55" spans="6:13">
      <c r="F55" s="882"/>
      <c r="G55" s="674"/>
      <c r="H55" s="674"/>
      <c r="I55" s="674"/>
      <c r="J55" s="674"/>
      <c r="K55" s="674"/>
      <c r="L55" s="674"/>
      <c r="M55" s="674"/>
    </row>
    <row r="56" spans="6:13">
      <c r="F56" s="882"/>
      <c r="G56" s="674"/>
      <c r="H56" s="674"/>
      <c r="I56" s="674"/>
      <c r="J56" s="674"/>
      <c r="K56" s="674"/>
      <c r="L56" s="674"/>
      <c r="M56" s="67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CD627F5D-6098-4FAE-B52E-1AD86315B720}">
          <x14:formula1>
            <xm:f>margins!#REF!</xm:f>
          </x14:formula1>
          <xm:sqref>P13:P19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37" customWidth="1"/>
    <col min="2" max="2" width="25.7109375" style="936" customWidth="1"/>
    <col min="3" max="3" width="15.28515625" style="936" customWidth="1"/>
    <col min="4" max="4" width="13" style="936" customWidth="1"/>
    <col min="5" max="5" width="12.7109375" style="936" customWidth="1"/>
    <col min="6" max="9" width="13.7109375" style="936" customWidth="1"/>
    <col min="10" max="10" width="13.5703125" style="936" customWidth="1"/>
    <col min="11" max="13" width="13.7109375" style="936" customWidth="1"/>
    <col min="14" max="14" width="2" style="936" customWidth="1"/>
    <col min="15" max="15" width="9.140625" style="935"/>
    <col min="16" max="18" width="20" style="935" customWidth="1"/>
    <col min="19" max="16384" width="9.140625" style="935"/>
  </cols>
  <sheetData>
    <row r="1" spans="1:18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1147"/>
    </row>
    <row r="2" spans="1:18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1746" t="s">
        <v>329</v>
      </c>
      <c r="K2" s="1746"/>
      <c r="L2" s="1747">
        <f ca="1">NOW()</f>
        <v>46223.360261689813</v>
      </c>
      <c r="M2" s="1747"/>
      <c r="N2" s="1079"/>
    </row>
    <row r="3" spans="1:18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746"/>
      <c r="N3" s="1079"/>
    </row>
    <row r="4" spans="1:18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941"/>
      <c r="L4" s="1746"/>
      <c r="M4" s="1746"/>
      <c r="N4" s="1079"/>
    </row>
    <row r="5" spans="1:18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941"/>
      <c r="L5" s="1746" t="s">
        <v>172</v>
      </c>
      <c r="M5" s="1746"/>
      <c r="N5" s="1079"/>
    </row>
    <row r="6" spans="1:18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1079"/>
    </row>
    <row r="7" spans="1:18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1079"/>
    </row>
    <row r="8" spans="1:18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1146"/>
    </row>
    <row r="9" spans="1:18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M9" s="1106"/>
      <c r="N9" s="1145"/>
    </row>
    <row r="10" spans="1:18" s="936" customFormat="1" ht="14.25" customHeight="1">
      <c r="A10" s="1748" t="s">
        <v>649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49"/>
      <c r="N10" s="1750"/>
      <c r="P10" s="1729" t="s">
        <v>654</v>
      </c>
      <c r="Q10" s="1798"/>
      <c r="R10" s="1730"/>
    </row>
    <row r="11" spans="1:18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3"/>
      <c r="P11" s="418"/>
      <c r="Q11" s="418"/>
      <c r="R11" s="418"/>
    </row>
    <row r="12" spans="1:18" s="936" customFormat="1" ht="15.75" thickBot="1">
      <c r="A12" s="1144"/>
      <c r="B12" s="1165"/>
      <c r="C12" s="1736" t="s">
        <v>438</v>
      </c>
      <c r="D12" s="1737"/>
      <c r="E12" s="1737"/>
      <c r="F12" s="1143"/>
      <c r="G12" s="1142"/>
      <c r="H12" s="1142"/>
      <c r="I12" s="1142"/>
      <c r="J12" s="1142"/>
      <c r="K12" s="1142"/>
      <c r="L12" s="980"/>
      <c r="M12" s="1141"/>
      <c r="N12" s="1140"/>
      <c r="P12" s="1127" t="s">
        <v>195</v>
      </c>
      <c r="Q12" s="1127" t="s">
        <v>196</v>
      </c>
      <c r="R12" s="1127" t="s">
        <v>197</v>
      </c>
    </row>
    <row r="13" spans="1:18" s="936" customFormat="1" ht="15.75" thickBot="1">
      <c r="A13" s="1129"/>
      <c r="B13" s="1164" t="s">
        <v>211</v>
      </c>
      <c r="C13" s="1275" t="s">
        <v>13</v>
      </c>
      <c r="D13" s="1275" t="s">
        <v>87</v>
      </c>
      <c r="E13" s="1164" t="s">
        <v>600</v>
      </c>
      <c r="G13" s="1081" t="s">
        <v>599</v>
      </c>
      <c r="H13" s="1080"/>
      <c r="I13" s="1080"/>
      <c r="K13" s="1081" t="s">
        <v>598</v>
      </c>
      <c r="L13" s="1"/>
      <c r="N13" s="1079"/>
      <c r="P13" s="418"/>
      <c r="Q13" s="418"/>
      <c r="R13" s="418"/>
    </row>
    <row r="14" spans="1:18" s="936" customFormat="1">
      <c r="A14" s="1129"/>
      <c r="B14" s="1163">
        <f>margins!J5</f>
        <v>5.75</v>
      </c>
      <c r="C14" s="1139">
        <v>92.37</v>
      </c>
      <c r="D14" s="1138">
        <v>92.27</v>
      </c>
      <c r="E14" s="1201">
        <v>92.27</v>
      </c>
      <c r="G14" s="1729" t="s">
        <v>94</v>
      </c>
      <c r="H14" s="1730"/>
      <c r="I14" s="1278" t="s">
        <v>6</v>
      </c>
      <c r="K14" s="1729" t="s">
        <v>597</v>
      </c>
      <c r="L14" s="1754"/>
      <c r="M14" s="1135">
        <v>0</v>
      </c>
      <c r="N14" s="1079"/>
      <c r="P14" s="427" t="s">
        <v>198</v>
      </c>
      <c r="Q14" s="432" t="s">
        <v>91</v>
      </c>
      <c r="R14" s="435"/>
    </row>
    <row r="15" spans="1:18" s="936" customFormat="1" ht="15.75" thickBot="1">
      <c r="A15" s="1129"/>
      <c r="B15" s="1163">
        <f>margins!J6</f>
        <v>5.875</v>
      </c>
      <c r="C15" s="1120">
        <v>93.37</v>
      </c>
      <c r="D15" s="1119">
        <v>93.27</v>
      </c>
      <c r="E15" s="1118">
        <v>93.27</v>
      </c>
      <c r="G15" s="1755" t="s">
        <v>95</v>
      </c>
      <c r="H15" s="1756"/>
      <c r="I15" s="1134">
        <v>102</v>
      </c>
      <c r="K15" s="1744" t="s">
        <v>596</v>
      </c>
      <c r="L15" s="1745"/>
      <c r="M15" s="1137">
        <v>-0.375</v>
      </c>
      <c r="N15" s="1079"/>
      <c r="P15" s="428" t="s">
        <v>199</v>
      </c>
      <c r="Q15" s="432">
        <v>7.875</v>
      </c>
      <c r="R15" s="849">
        <f>IF(Q14="7/6 Arm",VLOOKUP(Q15,$B$14:$E$43,2,FALSE),IF(Q14="10/6 Arm",VLOOKUP(Q15,$B$14:$E$43,3,FALSE),VLOOKUP(Q15,$B$14:$E$43,4,FALSE)))</f>
        <v>102.89400000000001</v>
      </c>
    </row>
    <row r="16" spans="1:18" s="936" customFormat="1">
      <c r="A16" s="1129"/>
      <c r="B16" s="1163">
        <f>margins!J7</f>
        <v>6</v>
      </c>
      <c r="C16" s="1120">
        <v>94.245000000000005</v>
      </c>
      <c r="D16" s="1119">
        <v>94.144999999999996</v>
      </c>
      <c r="E16" s="1118">
        <v>94.144999999999996</v>
      </c>
      <c r="G16" s="1755" t="s">
        <v>96</v>
      </c>
      <c r="H16" s="1756"/>
      <c r="I16" s="1134">
        <v>102</v>
      </c>
      <c r="N16" s="1079"/>
      <c r="P16" s="428" t="s">
        <v>353</v>
      </c>
      <c r="Q16" s="432" t="s">
        <v>16</v>
      </c>
      <c r="R16" s="436"/>
    </row>
    <row r="17" spans="1:18" s="936" customFormat="1">
      <c r="A17" s="1129"/>
      <c r="B17" s="1163">
        <f>margins!J8</f>
        <v>6.125</v>
      </c>
      <c r="C17" s="1120">
        <v>94.963000000000008</v>
      </c>
      <c r="D17" s="1119">
        <v>94.863</v>
      </c>
      <c r="E17" s="1118">
        <v>94.863</v>
      </c>
      <c r="G17" s="1755" t="s">
        <v>7</v>
      </c>
      <c r="H17" s="1756"/>
      <c r="I17" s="1134">
        <v>102</v>
      </c>
      <c r="N17" s="1079"/>
      <c r="P17" s="428" t="s">
        <v>200</v>
      </c>
      <c r="Q17" s="432" t="s">
        <v>645</v>
      </c>
      <c r="R17" s="436">
        <f>IFERROR(INDEX($F$47:$K$48,MATCH(Q17,$C$47:$E$48,0),MATCH($Q$16,$F$46:$K$46,0),1),0)</f>
        <v>0</v>
      </c>
    </row>
    <row r="18" spans="1:18" s="936" customFormat="1" ht="15.75" thickBot="1">
      <c r="A18" s="1129"/>
      <c r="B18" s="1163">
        <f>margins!J9</f>
        <v>6.25</v>
      </c>
      <c r="C18" s="1120">
        <v>95.65</v>
      </c>
      <c r="D18" s="1119">
        <v>95.55</v>
      </c>
      <c r="E18" s="1118">
        <v>95.55</v>
      </c>
      <c r="G18" s="1755" t="s">
        <v>9</v>
      </c>
      <c r="H18" s="1756"/>
      <c r="I18" s="1134">
        <v>101.5</v>
      </c>
      <c r="K18" s="1081" t="s">
        <v>594</v>
      </c>
      <c r="L18" s="1277"/>
      <c r="M18" s="1277"/>
      <c r="N18" s="1079"/>
      <c r="P18" s="428" t="s">
        <v>109</v>
      </c>
      <c r="Q18" s="432" t="s">
        <v>191</v>
      </c>
      <c r="R18" s="436">
        <f>IFERROR(INDEX($F$49:$K$50,MATCH(Q18,$C$49:$E$50,0),MATCH($Q$16,$F$46:$K$46,0),1),0)</f>
        <v>0</v>
      </c>
    </row>
    <row r="19" spans="1:18" s="936" customFormat="1">
      <c r="A19" s="1129"/>
      <c r="B19" s="1163">
        <f>margins!J10</f>
        <v>6.375</v>
      </c>
      <c r="C19" s="1120">
        <v>96.338000000000008</v>
      </c>
      <c r="D19" s="1119">
        <v>96.238</v>
      </c>
      <c r="E19" s="1118">
        <v>96.238</v>
      </c>
      <c r="G19" s="1755" t="s">
        <v>11</v>
      </c>
      <c r="H19" s="1756"/>
      <c r="I19" s="1134">
        <v>99.5</v>
      </c>
      <c r="K19" s="1721" t="s">
        <v>639</v>
      </c>
      <c r="L19" s="1722"/>
      <c r="M19" s="1723"/>
      <c r="N19" s="1079"/>
      <c r="P19" s="428" t="s">
        <v>47</v>
      </c>
      <c r="Q19" s="432" t="s">
        <v>219</v>
      </c>
      <c r="R19" s="436">
        <f>IFERROR(INDEX($F$55:$K$81,MATCH(Q19,$C$55:$C$81,0),MATCH($Q$16,$F$54:$K$54,0),1),0)</f>
        <v>0</v>
      </c>
    </row>
    <row r="20" spans="1:18" s="936" customFormat="1" ht="15.75" thickBot="1">
      <c r="A20" s="1129"/>
      <c r="B20" s="1163">
        <f>margins!J11</f>
        <v>6.5</v>
      </c>
      <c r="C20" s="1120">
        <v>97.025000000000006</v>
      </c>
      <c r="D20" s="1119">
        <v>96.924999999999997</v>
      </c>
      <c r="E20" s="1118">
        <v>96.924999999999997</v>
      </c>
      <c r="F20" s="941"/>
      <c r="G20" s="1731" t="s">
        <v>97</v>
      </c>
      <c r="H20" s="1732"/>
      <c r="I20" s="1133">
        <v>98.5</v>
      </c>
      <c r="K20" s="1724"/>
      <c r="L20" s="1725"/>
      <c r="M20" s="1726"/>
      <c r="N20" s="1079"/>
      <c r="P20" s="428" t="s">
        <v>56</v>
      </c>
      <c r="Q20" s="432" t="s">
        <v>191</v>
      </c>
      <c r="R20" s="436">
        <f>IFERROR(INDEX($F$55:$K$81,MATCH(Q20,$C$55:$C$81,0),MATCH($Q$16,$F$54:$K$54,0),1),0)</f>
        <v>0</v>
      </c>
    </row>
    <row r="21" spans="1:18" s="936" customFormat="1">
      <c r="A21" s="1129"/>
      <c r="B21" s="1163">
        <f>margins!J12</f>
        <v>6.625</v>
      </c>
      <c r="C21" s="1120">
        <v>97.65</v>
      </c>
      <c r="D21" s="1119">
        <v>97.55</v>
      </c>
      <c r="E21" s="1118">
        <v>97.55</v>
      </c>
      <c r="F21" s="941"/>
      <c r="G21"/>
      <c r="H21"/>
      <c r="I21"/>
      <c r="K21" s="1724" t="s">
        <v>437</v>
      </c>
      <c r="L21" s="1725"/>
      <c r="M21" s="1726"/>
      <c r="N21" s="1079"/>
      <c r="P21" s="428" t="s">
        <v>62</v>
      </c>
      <c r="Q21" s="432" t="s">
        <v>191</v>
      </c>
      <c r="R21" s="436">
        <f t="shared" ref="R21:R24" si="0">IFERROR(INDEX($F$55:$K$81,MATCH(Q21,$C$55:$C$81,0),MATCH($Q$16,$F$54:$K$54,0),1),0)</f>
        <v>0</v>
      </c>
    </row>
    <row r="22" spans="1:18" s="936" customFormat="1">
      <c r="A22" s="1129"/>
      <c r="B22" s="1163">
        <f>margins!J13</f>
        <v>6.75</v>
      </c>
      <c r="C22" s="1120">
        <v>98.275000000000006</v>
      </c>
      <c r="D22" s="1119">
        <v>98.174999999999997</v>
      </c>
      <c r="E22" s="1118">
        <v>98.174999999999997</v>
      </c>
      <c r="F22" s="1128"/>
      <c r="K22" s="1724"/>
      <c r="L22" s="1725"/>
      <c r="M22" s="1726"/>
      <c r="N22" s="1079"/>
      <c r="P22" s="428" t="s">
        <v>202</v>
      </c>
      <c r="Q22" s="432" t="s">
        <v>191</v>
      </c>
      <c r="R22" s="436">
        <f t="shared" si="0"/>
        <v>0</v>
      </c>
    </row>
    <row r="23" spans="1:18" s="936" customFormat="1" ht="15.75" thickBot="1">
      <c r="A23" s="1082"/>
      <c r="B23" s="1163">
        <f>margins!J14</f>
        <v>6.875</v>
      </c>
      <c r="C23" s="1120">
        <v>98.9</v>
      </c>
      <c r="D23" s="1119">
        <v>98.8</v>
      </c>
      <c r="E23" s="1118">
        <v>98.8</v>
      </c>
      <c r="F23" s="1128"/>
      <c r="G23" s="1081" t="s">
        <v>595</v>
      </c>
      <c r="I23" s="941"/>
      <c r="K23" s="1733" t="s">
        <v>637</v>
      </c>
      <c r="L23" s="1734"/>
      <c r="M23" s="1735"/>
      <c r="N23" s="1079"/>
      <c r="P23" s="428" t="s">
        <v>136</v>
      </c>
      <c r="Q23" s="432" t="s">
        <v>191</v>
      </c>
      <c r="R23" s="436">
        <f t="shared" si="0"/>
        <v>0</v>
      </c>
    </row>
    <row r="24" spans="1:18" s="936" customFormat="1" ht="14.25" customHeight="1">
      <c r="A24" s="1082"/>
      <c r="B24" s="1163">
        <f>margins!J15</f>
        <v>7</v>
      </c>
      <c r="C24" s="1120">
        <v>99.525000000000006</v>
      </c>
      <c r="D24" s="1119">
        <v>99.424999999999997</v>
      </c>
      <c r="E24" s="1118">
        <v>99.424999999999997</v>
      </c>
      <c r="F24" s="1128"/>
      <c r="G24" s="1127" t="s">
        <v>239</v>
      </c>
      <c r="H24" s="1768" t="s">
        <v>593</v>
      </c>
      <c r="I24" s="1769"/>
      <c r="K24" s="1733"/>
      <c r="L24" s="1734"/>
      <c r="M24" s="1735"/>
      <c r="N24" s="1079"/>
      <c r="P24" s="428" t="s">
        <v>203</v>
      </c>
      <c r="Q24" s="432" t="s">
        <v>191</v>
      </c>
      <c r="R24" s="436">
        <f t="shared" si="0"/>
        <v>0</v>
      </c>
    </row>
    <row r="25" spans="1:18" s="936" customFormat="1">
      <c r="A25" s="1082"/>
      <c r="B25" s="1163">
        <f>margins!J16</f>
        <v>7.125</v>
      </c>
      <c r="C25" s="1120">
        <v>100.15</v>
      </c>
      <c r="D25" s="1119">
        <v>100.05</v>
      </c>
      <c r="E25" s="1118">
        <v>100.05</v>
      </c>
      <c r="G25" s="1126" t="s">
        <v>210</v>
      </c>
      <c r="H25" s="1739">
        <v>4.5</v>
      </c>
      <c r="I25" s="1740"/>
      <c r="K25" s="1733" t="s">
        <v>638</v>
      </c>
      <c r="L25" s="1734"/>
      <c r="M25" s="1735"/>
      <c r="N25" s="1079"/>
      <c r="P25" s="428" t="s">
        <v>652</v>
      </c>
      <c r="Q25" s="432" t="s">
        <v>191</v>
      </c>
      <c r="R25" s="436">
        <f>IFERROR(INDEX($F$72:$K$77,MATCH(Q25,$C$72:$C$77,0),MATCH($Q$16,$F$54:$K$54,0),1),0)</f>
        <v>0</v>
      </c>
    </row>
    <row r="26" spans="1:18" s="936" customFormat="1" ht="14.25" customHeight="1" thickBot="1">
      <c r="A26" s="1082"/>
      <c r="B26" s="1163">
        <f>margins!J17</f>
        <v>7.25</v>
      </c>
      <c r="C26" s="1120">
        <v>100.77500000000001</v>
      </c>
      <c r="D26" s="1119">
        <v>100.675</v>
      </c>
      <c r="E26" s="1118">
        <v>100.675</v>
      </c>
      <c r="G26" s="1126" t="s">
        <v>592</v>
      </c>
      <c r="H26" s="1739" t="s">
        <v>591</v>
      </c>
      <c r="I26" s="1740"/>
      <c r="K26" s="1741"/>
      <c r="L26" s="1742"/>
      <c r="M26" s="1743"/>
      <c r="N26" s="1079"/>
      <c r="P26" s="428" t="s">
        <v>69</v>
      </c>
      <c r="Q26" s="432" t="s">
        <v>191</v>
      </c>
      <c r="R26" s="436">
        <f t="shared" ref="R26:R29" si="1">IFERROR(INDEX($F$55:$K$81,MATCH(Q26,$C$55:$C$81,0),MATCH($Q$16,$F$54:$K$54,0),1),0)</f>
        <v>0</v>
      </c>
    </row>
    <row r="27" spans="1:18" s="936" customFormat="1">
      <c r="A27" s="1082"/>
      <c r="B27" s="1163">
        <f>margins!J18</f>
        <v>7.375</v>
      </c>
      <c r="C27" s="1120">
        <v>101.307</v>
      </c>
      <c r="D27" s="1119">
        <v>101.20700000000001</v>
      </c>
      <c r="E27" s="1118">
        <v>101.20700000000001</v>
      </c>
      <c r="G27" s="1126" t="s">
        <v>590</v>
      </c>
      <c r="H27" s="1739" t="s">
        <v>103</v>
      </c>
      <c r="I27" s="1740"/>
      <c r="N27" s="1079"/>
      <c r="P27" s="428" t="s">
        <v>470</v>
      </c>
      <c r="Q27" s="432" t="s">
        <v>191</v>
      </c>
      <c r="R27" s="436">
        <f t="shared" si="1"/>
        <v>0</v>
      </c>
    </row>
    <row r="28" spans="1:18" s="936" customFormat="1" ht="14.25" customHeight="1" thickBot="1">
      <c r="A28" s="1082"/>
      <c r="B28" s="1163">
        <f>margins!J19</f>
        <v>7.5</v>
      </c>
      <c r="C28" s="1120">
        <v>101.744</v>
      </c>
      <c r="D28" s="1119">
        <v>101.64400000000001</v>
      </c>
      <c r="E28" s="1118">
        <v>101.64400000000001</v>
      </c>
      <c r="G28" s="1123" t="s">
        <v>589</v>
      </c>
      <c r="H28" s="1770" t="s">
        <v>588</v>
      </c>
      <c r="I28" s="1771"/>
      <c r="N28" s="1079"/>
      <c r="P28" s="428" t="s">
        <v>653</v>
      </c>
      <c r="Q28" s="432" t="s">
        <v>191</v>
      </c>
      <c r="R28" s="436">
        <f t="shared" si="1"/>
        <v>0</v>
      </c>
    </row>
    <row r="29" spans="1:18" s="936" customFormat="1">
      <c r="A29" s="1082"/>
      <c r="B29" s="1163">
        <f>margins!J20</f>
        <v>7.625</v>
      </c>
      <c r="C29" s="1120">
        <v>102.182</v>
      </c>
      <c r="D29" s="1119">
        <v>102.08200000000001</v>
      </c>
      <c r="E29" s="1118">
        <v>102.08200000000001</v>
      </c>
      <c r="N29" s="1079"/>
      <c r="P29" s="428" t="s">
        <v>464</v>
      </c>
      <c r="Q29" s="432" t="s">
        <v>191</v>
      </c>
      <c r="R29" s="436">
        <f t="shared" si="1"/>
        <v>0</v>
      </c>
    </row>
    <row r="30" spans="1:18" s="936" customFormat="1">
      <c r="A30" s="1082"/>
      <c r="B30" s="1163">
        <f>margins!J21</f>
        <v>7.75</v>
      </c>
      <c r="C30" s="1120">
        <v>102.619</v>
      </c>
      <c r="D30" s="1119">
        <v>102.51900000000001</v>
      </c>
      <c r="E30" s="1118">
        <v>102.51900000000001</v>
      </c>
      <c r="N30" s="1079"/>
      <c r="P30" s="428" t="s">
        <v>205</v>
      </c>
      <c r="Q30" s="432" t="s">
        <v>191</v>
      </c>
      <c r="R30" s="436">
        <f>IF(Q30=30,0, IF(Q30=45,M15, 0))</f>
        <v>0</v>
      </c>
    </row>
    <row r="31" spans="1:18" s="936" customFormat="1" ht="15.75" thickBot="1">
      <c r="A31" s="1082"/>
      <c r="B31" s="1163">
        <f>margins!J22</f>
        <v>7.875</v>
      </c>
      <c r="C31" s="1120">
        <v>102.994</v>
      </c>
      <c r="D31" s="1119">
        <v>102.89400000000001</v>
      </c>
      <c r="E31" s="1118">
        <v>102.89400000000001</v>
      </c>
      <c r="N31" s="1079"/>
      <c r="P31" s="429" t="s">
        <v>206</v>
      </c>
      <c r="Q31" s="433"/>
      <c r="R31" s="437">
        <f>SUM(R17:R30)</f>
        <v>0</v>
      </c>
    </row>
    <row r="32" spans="1:18" s="936" customFormat="1" ht="15.75" thickBot="1">
      <c r="A32" s="1082"/>
      <c r="B32" s="1163">
        <f>margins!J23</f>
        <v>8</v>
      </c>
      <c r="C32" s="1120">
        <v>103.369</v>
      </c>
      <c r="D32" s="1119">
        <v>103.26900000000001</v>
      </c>
      <c r="E32" s="1118">
        <v>103.26900000000001</v>
      </c>
      <c r="N32" s="1079"/>
      <c r="P32" s="420"/>
      <c r="Q32" s="421"/>
      <c r="R32" s="430"/>
    </row>
    <row r="33" spans="1:18" s="936" customFormat="1" ht="15.75" thickBot="1">
      <c r="A33" s="1082"/>
      <c r="B33" s="1163">
        <f>margins!J24</f>
        <v>8.125</v>
      </c>
      <c r="C33" s="1120">
        <v>103.744</v>
      </c>
      <c r="D33" s="1119">
        <v>103.64400000000001</v>
      </c>
      <c r="E33" s="1118">
        <v>103.64400000000001</v>
      </c>
      <c r="N33" s="1079"/>
      <c r="P33" s="422" t="s">
        <v>207</v>
      </c>
      <c r="Q33" s="423"/>
      <c r="R33" s="58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102.89400000000001</v>
      </c>
    </row>
    <row r="34" spans="1:18" s="936" customFormat="1" ht="15.75" thickBot="1">
      <c r="A34" s="1082"/>
      <c r="B34" s="1163">
        <f>margins!J25</f>
        <v>8.25</v>
      </c>
      <c r="C34" s="1120">
        <v>104.119</v>
      </c>
      <c r="D34" s="1119">
        <v>104.01900000000001</v>
      </c>
      <c r="E34" s="1118">
        <v>104.01900000000001</v>
      </c>
      <c r="G34" s="1081"/>
      <c r="H34"/>
      <c r="I34"/>
      <c r="J34"/>
      <c r="N34" s="1079"/>
      <c r="P34" s="417"/>
      <c r="Q34" s="417"/>
      <c r="R34" s="417"/>
    </row>
    <row r="35" spans="1:18" s="936" customFormat="1" ht="15.75" thickBot="1">
      <c r="A35" s="1082"/>
      <c r="B35" s="1163">
        <f>margins!J26</f>
        <v>8.375</v>
      </c>
      <c r="C35" s="1120">
        <v>104.494</v>
      </c>
      <c r="D35" s="1119">
        <v>104.39400000000001</v>
      </c>
      <c r="E35" s="1118">
        <v>104.39400000000001</v>
      </c>
      <c r="G35"/>
      <c r="H35"/>
      <c r="I35"/>
      <c r="J35"/>
      <c r="N35" s="1079"/>
      <c r="P35" s="746" t="s">
        <v>655</v>
      </c>
      <c r="Q35" s="747"/>
      <c r="R35" s="748"/>
    </row>
    <row r="36" spans="1:18" s="936" customFormat="1">
      <c r="A36" s="1082"/>
      <c r="B36" s="1163">
        <f>margins!J27</f>
        <v>8.5</v>
      </c>
      <c r="C36" s="1120">
        <v>104.807</v>
      </c>
      <c r="D36" s="1119">
        <v>104.70700000000001</v>
      </c>
      <c r="E36" s="1118">
        <v>104.70700000000001</v>
      </c>
      <c r="G36"/>
      <c r="H36"/>
      <c r="I36"/>
      <c r="J36"/>
      <c r="N36" s="1079"/>
      <c r="P36"/>
      <c r="Q36"/>
      <c r="R36"/>
    </row>
    <row r="37" spans="1:18" s="936" customFormat="1">
      <c r="A37" s="1082"/>
      <c r="B37" s="1163">
        <f>margins!J28</f>
        <v>8.625</v>
      </c>
      <c r="C37" s="1120">
        <v>105.119</v>
      </c>
      <c r="D37" s="1119">
        <v>105.01900000000001</v>
      </c>
      <c r="E37" s="1118">
        <v>105.01900000000001</v>
      </c>
      <c r="G37"/>
      <c r="H37"/>
      <c r="I37"/>
      <c r="J37"/>
      <c r="N37" s="1079"/>
      <c r="P37"/>
      <c r="Q37"/>
      <c r="R37"/>
    </row>
    <row r="38" spans="1:18" s="936" customFormat="1">
      <c r="A38" s="1082"/>
      <c r="B38" s="1163">
        <f>margins!J29</f>
        <v>8.75</v>
      </c>
      <c r="C38" s="1120">
        <v>105.432</v>
      </c>
      <c r="D38" s="1119">
        <v>105.33200000000001</v>
      </c>
      <c r="E38" s="1118">
        <v>105.33200000000001</v>
      </c>
      <c r="G38"/>
      <c r="H38"/>
      <c r="I38"/>
      <c r="J38"/>
      <c r="N38" s="1079"/>
      <c r="P38"/>
      <c r="Q38"/>
      <c r="R38"/>
    </row>
    <row r="39" spans="1:18" s="936" customFormat="1">
      <c r="A39" s="1082"/>
      <c r="B39" s="1163">
        <f>margins!J30</f>
        <v>8.875</v>
      </c>
      <c r="C39" s="1120">
        <v>105.682</v>
      </c>
      <c r="D39" s="1119">
        <v>105.58200000000001</v>
      </c>
      <c r="E39" s="1118">
        <v>105.58200000000001</v>
      </c>
      <c r="G39"/>
      <c r="H39"/>
      <c r="I39"/>
      <c r="J39"/>
      <c r="N39" s="1079"/>
    </row>
    <row r="40" spans="1:18" s="936" customFormat="1">
      <c r="A40" s="1082"/>
      <c r="B40" s="1163">
        <f>margins!J31</f>
        <v>9</v>
      </c>
      <c r="C40" s="1120">
        <v>105.932</v>
      </c>
      <c r="D40" s="1119">
        <v>105.83200000000001</v>
      </c>
      <c r="E40" s="1118">
        <v>105.83200000000001</v>
      </c>
      <c r="G40"/>
      <c r="H40"/>
      <c r="I40"/>
      <c r="J40"/>
      <c r="N40" s="1079"/>
    </row>
    <row r="41" spans="1:18" s="936" customFormat="1">
      <c r="A41" s="1082"/>
      <c r="B41" s="1163">
        <f>margins!J32</f>
        <v>9.125</v>
      </c>
      <c r="C41" s="1120">
        <v>106.182</v>
      </c>
      <c r="D41" s="1119">
        <v>106.08200000000001</v>
      </c>
      <c r="E41" s="1118">
        <v>106.08200000000001</v>
      </c>
      <c r="G41"/>
      <c r="H41"/>
      <c r="I41"/>
      <c r="J41"/>
      <c r="N41" s="1079"/>
    </row>
    <row r="42" spans="1:18" s="936" customFormat="1" ht="15.75" thickBot="1">
      <c r="A42" s="1082"/>
      <c r="B42" s="1162">
        <f>margins!J33</f>
        <v>9.25</v>
      </c>
      <c r="C42" s="1116">
        <v>106.432</v>
      </c>
      <c r="D42" s="1115">
        <v>106.33200000000001</v>
      </c>
      <c r="E42" s="1202">
        <v>106.33200000000001</v>
      </c>
      <c r="G42" s="1081"/>
      <c r="N42" s="1079"/>
    </row>
    <row r="43" spans="1:18" s="936" customFormat="1">
      <c r="A43" s="1082"/>
      <c r="B43" s="1114"/>
      <c r="C43" s="1113"/>
      <c r="D43" s="1764"/>
      <c r="E43" s="1764"/>
      <c r="G43"/>
      <c r="H43"/>
      <c r="I43"/>
      <c r="J43"/>
      <c r="N43" s="1079"/>
    </row>
    <row r="44" spans="1:18" s="936" customFormat="1" ht="15.75" thickBot="1">
      <c r="A44" s="1082"/>
      <c r="B44" s="1114"/>
      <c r="C44" s="1113"/>
      <c r="D44" s="1113"/>
      <c r="E44" s="1113"/>
      <c r="G44"/>
      <c r="H44"/>
      <c r="I44"/>
      <c r="J44"/>
      <c r="N44" s="1079"/>
    </row>
    <row r="45" spans="1:18" s="936" customFormat="1" ht="15.75" thickBot="1">
      <c r="A45" s="1082"/>
      <c r="B45" s="1081" t="s">
        <v>216</v>
      </c>
      <c r="C45" s="1081"/>
      <c r="D45" s="1081"/>
      <c r="E45" s="1"/>
      <c r="F45" s="1736" t="s">
        <v>298</v>
      </c>
      <c r="G45" s="1737"/>
      <c r="H45" s="1737"/>
      <c r="I45" s="1737"/>
      <c r="J45" s="1737"/>
      <c r="K45" s="1738"/>
      <c r="L45"/>
      <c r="M45"/>
      <c r="N45" s="1079"/>
    </row>
    <row r="46" spans="1:18" s="936" customFormat="1" ht="15.75" thickBot="1">
      <c r="A46" s="1082"/>
      <c r="B46" s="1286"/>
      <c r="C46" s="1294" t="s">
        <v>191</v>
      </c>
      <c r="D46" s="1293"/>
      <c r="E46" s="1294" t="s">
        <v>191</v>
      </c>
      <c r="F46" s="1101" t="s">
        <v>15</v>
      </c>
      <c r="G46" s="1282" t="s">
        <v>16</v>
      </c>
      <c r="H46" s="1271" t="s">
        <v>17</v>
      </c>
      <c r="I46" s="1283" t="s">
        <v>18</v>
      </c>
      <c r="J46" s="1284" t="s">
        <v>19</v>
      </c>
      <c r="K46" s="1285" t="s">
        <v>20</v>
      </c>
      <c r="L46"/>
      <c r="M46"/>
      <c r="N46" s="1079"/>
    </row>
    <row r="47" spans="1:18" s="936" customFormat="1">
      <c r="A47" s="1082"/>
      <c r="B47" s="1772" t="s">
        <v>109</v>
      </c>
      <c r="C47" s="1715" t="s">
        <v>644</v>
      </c>
      <c r="D47" s="1716"/>
      <c r="E47" s="1717"/>
      <c r="F47" s="1092">
        <v>0.49999999999999989</v>
      </c>
      <c r="G47" s="1091">
        <v>0.12499999999999989</v>
      </c>
      <c r="H47" s="1091">
        <v>-0.12500000000000011</v>
      </c>
      <c r="I47" s="1091">
        <v>-1</v>
      </c>
      <c r="J47" s="1091">
        <v>-2.5</v>
      </c>
      <c r="K47" s="1090">
        <v>-3.75</v>
      </c>
      <c r="L47"/>
      <c r="M47"/>
      <c r="N47" s="1079"/>
    </row>
    <row r="48" spans="1:18" s="936" customFormat="1" ht="15.75" thickBot="1">
      <c r="A48" s="1082"/>
      <c r="B48" s="1773"/>
      <c r="C48" s="1712" t="s">
        <v>645</v>
      </c>
      <c r="D48" s="1713"/>
      <c r="E48" s="1714"/>
      <c r="F48" s="1095">
        <v>0.5</v>
      </c>
      <c r="G48" s="1094">
        <v>0.12499999999999989</v>
      </c>
      <c r="H48" s="1094">
        <v>-0.12500000000000011</v>
      </c>
      <c r="I48" s="1094">
        <v>-1</v>
      </c>
      <c r="J48" s="1094">
        <v>-2.5</v>
      </c>
      <c r="K48" s="1093">
        <v>-3.75</v>
      </c>
      <c r="L48"/>
      <c r="M48"/>
      <c r="N48" s="1079"/>
    </row>
    <row r="49" spans="1:14" s="936" customFormat="1" ht="15" customHeight="1">
      <c r="A49" s="1082"/>
      <c r="B49" s="1757" t="s">
        <v>650</v>
      </c>
      <c r="C49" s="1715" t="s">
        <v>112</v>
      </c>
      <c r="D49" s="1716"/>
      <c r="E49" s="1717"/>
      <c r="F49" s="1154">
        <v>0.5</v>
      </c>
      <c r="G49" s="1153">
        <v>0.5</v>
      </c>
      <c r="H49" s="1153">
        <v>0.5</v>
      </c>
      <c r="I49" s="1153">
        <v>0.625</v>
      </c>
      <c r="J49" s="1153">
        <v>0.625</v>
      </c>
      <c r="K49" s="1152">
        <v>0.625</v>
      </c>
      <c r="L49"/>
      <c r="M49"/>
      <c r="N49" s="1079"/>
    </row>
    <row r="50" spans="1:14" s="936" customFormat="1" ht="15.75" thickBot="1">
      <c r="A50" s="1082"/>
      <c r="B50" s="1759"/>
      <c r="C50" s="1706" t="s">
        <v>113</v>
      </c>
      <c r="D50" s="1707"/>
      <c r="E50" s="1708"/>
      <c r="F50" s="1157">
        <v>0</v>
      </c>
      <c r="G50" s="1156">
        <v>0</v>
      </c>
      <c r="H50" s="1156">
        <v>0</v>
      </c>
      <c r="I50" s="1156">
        <v>0</v>
      </c>
      <c r="J50" s="1156">
        <v>0</v>
      </c>
      <c r="K50" s="1155">
        <v>0</v>
      </c>
      <c r="L50"/>
      <c r="M50"/>
      <c r="N50" s="1079"/>
    </row>
    <row r="51" spans="1:14" s="936" customFormat="1">
      <c r="A51" s="1082"/>
      <c r="L51"/>
      <c r="M51"/>
      <c r="N51" s="1079"/>
    </row>
    <row r="52" spans="1:14" s="936" customFormat="1" ht="15.75" thickBot="1">
      <c r="A52" s="1082"/>
      <c r="L52"/>
      <c r="M52"/>
      <c r="N52" s="1079"/>
    </row>
    <row r="53" spans="1:14" s="936" customFormat="1" ht="15.75" thickBot="1">
      <c r="A53" s="1082"/>
      <c r="B53" s="1081" t="s">
        <v>704</v>
      </c>
      <c r="C53" s="1081"/>
      <c r="D53" s="1081"/>
      <c r="E53" s="1"/>
      <c r="F53" s="1736" t="s">
        <v>298</v>
      </c>
      <c r="G53" s="1737"/>
      <c r="H53" s="1737"/>
      <c r="I53" s="1737"/>
      <c r="J53" s="1737"/>
      <c r="K53" s="1738"/>
      <c r="L53"/>
      <c r="M53"/>
      <c r="N53" s="1079"/>
    </row>
    <row r="54" spans="1:14" s="936" customFormat="1" ht="15.75" thickBot="1">
      <c r="A54" s="1082"/>
      <c r="B54" s="1761"/>
      <c r="C54" s="1762"/>
      <c r="D54" s="1762"/>
      <c r="E54" s="1762"/>
      <c r="F54" s="1101" t="s">
        <v>15</v>
      </c>
      <c r="G54" s="1271" t="s">
        <v>16</v>
      </c>
      <c r="H54" s="1271" t="s">
        <v>17</v>
      </c>
      <c r="I54" s="1271" t="s">
        <v>18</v>
      </c>
      <c r="J54" s="1271" t="s">
        <v>19</v>
      </c>
      <c r="K54" s="1285" t="s">
        <v>20</v>
      </c>
      <c r="L54"/>
      <c r="M54"/>
      <c r="N54" s="1079"/>
    </row>
    <row r="55" spans="1:14" s="936" customFormat="1">
      <c r="A55" s="1082"/>
      <c r="B55" s="1772" t="s">
        <v>47</v>
      </c>
      <c r="C55" s="1715" t="s">
        <v>686</v>
      </c>
      <c r="D55" s="1716"/>
      <c r="E55" s="1717"/>
      <c r="F55" s="1092">
        <v>-0.75</v>
      </c>
      <c r="G55" s="1091">
        <v>-0.75</v>
      </c>
      <c r="H55" s="1091">
        <v>-0.875</v>
      </c>
      <c r="I55" s="1091">
        <v>-0.875</v>
      </c>
      <c r="J55" s="1091">
        <v>-0.875</v>
      </c>
      <c r="K55" s="1090">
        <v>-1.75</v>
      </c>
      <c r="L55"/>
      <c r="M55"/>
      <c r="N55" s="1079"/>
    </row>
    <row r="56" spans="1:14" s="936" customFormat="1">
      <c r="A56" s="1082"/>
      <c r="B56" s="1760"/>
      <c r="C56" s="1706" t="s">
        <v>586</v>
      </c>
      <c r="D56" s="1707"/>
      <c r="E56" s="1708"/>
      <c r="F56" s="1095">
        <v>-0.25</v>
      </c>
      <c r="G56" s="1094">
        <v>-0.25</v>
      </c>
      <c r="H56" s="1094">
        <v>-0.25</v>
      </c>
      <c r="I56" s="1094">
        <v>-0.25</v>
      </c>
      <c r="J56" s="1094">
        <v>-0.25</v>
      </c>
      <c r="K56" s="1093">
        <v>-0.25</v>
      </c>
      <c r="L56"/>
      <c r="M56"/>
      <c r="N56" s="1079"/>
    </row>
    <row r="57" spans="1:14" s="936" customFormat="1">
      <c r="A57" s="1082"/>
      <c r="B57" s="1760"/>
      <c r="C57" s="1706" t="s">
        <v>370</v>
      </c>
      <c r="D57" s="1707"/>
      <c r="E57" s="1708"/>
      <c r="F57" s="1095">
        <v>0</v>
      </c>
      <c r="G57" s="1094">
        <v>0</v>
      </c>
      <c r="H57" s="1094">
        <v>0</v>
      </c>
      <c r="I57" s="1094">
        <v>0</v>
      </c>
      <c r="J57" s="1094">
        <v>0</v>
      </c>
      <c r="K57" s="1093">
        <v>0</v>
      </c>
      <c r="L57"/>
      <c r="M57"/>
      <c r="N57" s="1079"/>
    </row>
    <row r="58" spans="1:14" s="936" customFormat="1">
      <c r="A58" s="1082"/>
      <c r="B58" s="1760"/>
      <c r="C58" s="1706" t="s">
        <v>371</v>
      </c>
      <c r="D58" s="1707"/>
      <c r="E58" s="1708"/>
      <c r="F58" s="1095">
        <v>0</v>
      </c>
      <c r="G58" s="1094">
        <v>0</v>
      </c>
      <c r="H58" s="1094">
        <v>0</v>
      </c>
      <c r="I58" s="1094">
        <v>0</v>
      </c>
      <c r="J58" s="1094">
        <v>0</v>
      </c>
      <c r="K58" s="1093">
        <v>0</v>
      </c>
      <c r="L58"/>
      <c r="M58"/>
      <c r="N58" s="1079"/>
    </row>
    <row r="59" spans="1:14" s="936" customFormat="1" ht="15.75" thickBot="1">
      <c r="A59" s="1082"/>
      <c r="B59" s="1773"/>
      <c r="C59" s="1706" t="s">
        <v>372</v>
      </c>
      <c r="D59" s="1707"/>
      <c r="E59" s="1708"/>
      <c r="F59" s="1095">
        <v>0</v>
      </c>
      <c r="G59" s="1094">
        <v>0</v>
      </c>
      <c r="H59" s="1094">
        <v>0</v>
      </c>
      <c r="I59" s="1094">
        <v>0</v>
      </c>
      <c r="J59" s="1094">
        <v>0</v>
      </c>
      <c r="K59" s="1093">
        <v>0</v>
      </c>
      <c r="L59"/>
      <c r="M59"/>
      <c r="N59" s="1079"/>
    </row>
    <row r="60" spans="1:14" s="936" customFormat="1" ht="15.75" thickBot="1">
      <c r="A60" s="1082"/>
      <c r="B60" s="1102" t="s">
        <v>56</v>
      </c>
      <c r="C60" s="1715" t="s">
        <v>59</v>
      </c>
      <c r="D60" s="1716"/>
      <c r="E60" s="1717"/>
      <c r="F60" s="1092">
        <v>-0.375</v>
      </c>
      <c r="G60" s="1091">
        <v>-0.375</v>
      </c>
      <c r="H60" s="1091">
        <v>-0.375</v>
      </c>
      <c r="I60" s="1091">
        <v>-0.5</v>
      </c>
      <c r="J60" s="1091" t="s">
        <v>14</v>
      </c>
      <c r="K60" s="1090" t="s">
        <v>14</v>
      </c>
      <c r="L60"/>
      <c r="M60"/>
      <c r="N60" s="1079"/>
    </row>
    <row r="61" spans="1:14" s="936" customFormat="1" ht="15" customHeight="1">
      <c r="A61" s="1082"/>
      <c r="B61" s="1772" t="s">
        <v>585</v>
      </c>
      <c r="C61" s="1706" t="s">
        <v>63</v>
      </c>
      <c r="D61" s="1707"/>
      <c r="E61" s="1708"/>
      <c r="F61" s="1154">
        <v>-0.125</v>
      </c>
      <c r="G61" s="1153">
        <v>-0.125</v>
      </c>
      <c r="H61" s="1153">
        <v>-0.125</v>
      </c>
      <c r="I61" s="1153">
        <v>-0.25</v>
      </c>
      <c r="J61" s="1153">
        <v>-0.5</v>
      </c>
      <c r="K61" s="1152" t="s">
        <v>14</v>
      </c>
      <c r="L61"/>
      <c r="M61"/>
      <c r="N61" s="1079"/>
    </row>
    <row r="62" spans="1:14" s="936" customFormat="1">
      <c r="A62" s="1082"/>
      <c r="B62" s="1760"/>
      <c r="C62" s="1706" t="s">
        <v>182</v>
      </c>
      <c r="D62" s="1707"/>
      <c r="E62" s="1708"/>
      <c r="F62" s="1154">
        <v>-1.375</v>
      </c>
      <c r="G62" s="1153">
        <v>-1.375</v>
      </c>
      <c r="H62" s="1153">
        <v>-1.375</v>
      </c>
      <c r="I62" s="1153">
        <v>-1.375</v>
      </c>
      <c r="J62" s="1153">
        <v>-1.375</v>
      </c>
      <c r="K62" s="1152" t="s">
        <v>14</v>
      </c>
      <c r="L62"/>
      <c r="M62"/>
      <c r="N62" s="1079"/>
    </row>
    <row r="63" spans="1:14" s="936" customFormat="1" ht="15.75" thickBot="1">
      <c r="A63" s="1082"/>
      <c r="B63" s="1773"/>
      <c r="C63" s="1712" t="s">
        <v>64</v>
      </c>
      <c r="D63" s="1713"/>
      <c r="E63" s="1714"/>
      <c r="F63" s="1088">
        <v>-0.5</v>
      </c>
      <c r="G63" s="1087">
        <v>-0.5</v>
      </c>
      <c r="H63" s="1087">
        <v>-0.5</v>
      </c>
      <c r="I63" s="1087">
        <v>-0.5</v>
      </c>
      <c r="J63" s="1087">
        <v>-0.625</v>
      </c>
      <c r="K63" s="1086" t="s">
        <v>14</v>
      </c>
      <c r="L63"/>
      <c r="M63"/>
      <c r="N63" s="1079"/>
    </row>
    <row r="64" spans="1:14" s="936" customFormat="1">
      <c r="A64" s="1082"/>
      <c r="B64" s="1772" t="s">
        <v>65</v>
      </c>
      <c r="C64" s="1715" t="s">
        <v>135</v>
      </c>
      <c r="D64" s="1716"/>
      <c r="E64" s="1717"/>
      <c r="F64" s="1092">
        <v>-0.25</v>
      </c>
      <c r="G64" s="1091">
        <v>-0.25</v>
      </c>
      <c r="H64" s="1091">
        <v>-0.25</v>
      </c>
      <c r="I64" s="1091">
        <v>-0.25</v>
      </c>
      <c r="J64" s="1091">
        <v>-0.25</v>
      </c>
      <c r="K64" s="1090">
        <v>-0.375</v>
      </c>
      <c r="L64"/>
      <c r="M64"/>
      <c r="N64" s="1079"/>
    </row>
    <row r="65" spans="1:14" s="936" customFormat="1" ht="15" customHeight="1" thickBot="1">
      <c r="A65" s="1082"/>
      <c r="B65" s="1773"/>
      <c r="C65" s="1712" t="s">
        <v>136</v>
      </c>
      <c r="D65" s="1713"/>
      <c r="E65" s="1714"/>
      <c r="F65" s="1088">
        <v>-0.5</v>
      </c>
      <c r="G65" s="1087">
        <v>-0.5</v>
      </c>
      <c r="H65" s="1087">
        <v>-0.5</v>
      </c>
      <c r="I65" s="1087">
        <v>-0.5</v>
      </c>
      <c r="J65" s="1087">
        <v>-0.625</v>
      </c>
      <c r="K65" s="1086">
        <v>-0.75</v>
      </c>
      <c r="L65"/>
      <c r="M65"/>
      <c r="N65" s="1079"/>
    </row>
    <row r="66" spans="1:14" s="936" customFormat="1" ht="25.5" customHeight="1">
      <c r="A66" s="1082"/>
      <c r="B66" s="1757" t="s">
        <v>584</v>
      </c>
      <c r="C66" s="1774" t="s">
        <v>95</v>
      </c>
      <c r="D66" s="1775"/>
      <c r="E66" s="1776"/>
      <c r="F66" s="1092">
        <v>1</v>
      </c>
      <c r="G66" s="1091">
        <v>1</v>
      </c>
      <c r="H66" s="1091">
        <v>1</v>
      </c>
      <c r="I66" s="1091">
        <v>1</v>
      </c>
      <c r="J66" s="1091">
        <v>1.125</v>
      </c>
      <c r="K66" s="1090">
        <v>1.125</v>
      </c>
      <c r="L66"/>
      <c r="M66"/>
      <c r="N66" s="1079"/>
    </row>
    <row r="67" spans="1:14" s="936" customFormat="1" ht="15" customHeight="1">
      <c r="A67" s="1082"/>
      <c r="B67" s="1758"/>
      <c r="C67" s="1706" t="s">
        <v>96</v>
      </c>
      <c r="D67" s="1707"/>
      <c r="E67" s="1708"/>
      <c r="F67" s="1154">
        <v>0.75</v>
      </c>
      <c r="G67" s="1153">
        <v>0.75</v>
      </c>
      <c r="H67" s="1153">
        <v>0.75</v>
      </c>
      <c r="I67" s="1153">
        <v>0.75</v>
      </c>
      <c r="J67" s="1153">
        <v>0.875</v>
      </c>
      <c r="K67" s="1152">
        <v>0.875</v>
      </c>
      <c r="L67"/>
      <c r="M67"/>
      <c r="N67" s="1079"/>
    </row>
    <row r="68" spans="1:14" s="936" customFormat="1">
      <c r="A68" s="1082"/>
      <c r="B68" s="1758"/>
      <c r="C68" s="1706" t="s">
        <v>7</v>
      </c>
      <c r="D68" s="1707"/>
      <c r="E68" s="1708"/>
      <c r="F68" s="1095">
        <v>0.5</v>
      </c>
      <c r="G68" s="1094">
        <v>0.5</v>
      </c>
      <c r="H68" s="1094">
        <v>0.5</v>
      </c>
      <c r="I68" s="1094">
        <v>0.5</v>
      </c>
      <c r="J68" s="1094">
        <v>0.625</v>
      </c>
      <c r="K68" s="1093">
        <v>0.625</v>
      </c>
      <c r="L68"/>
      <c r="M68"/>
      <c r="N68" s="1079"/>
    </row>
    <row r="69" spans="1:14" s="936" customFormat="1">
      <c r="A69" s="1082"/>
      <c r="B69" s="1758"/>
      <c r="C69" s="1706" t="s">
        <v>9</v>
      </c>
      <c r="D69" s="1707"/>
      <c r="E69" s="1708"/>
      <c r="F69" s="1095">
        <v>0</v>
      </c>
      <c r="G69" s="1094">
        <v>0</v>
      </c>
      <c r="H69" s="1094">
        <v>0</v>
      </c>
      <c r="I69" s="1094">
        <v>0</v>
      </c>
      <c r="J69" s="1094">
        <v>0.125</v>
      </c>
      <c r="K69" s="1093">
        <v>0.125</v>
      </c>
      <c r="L69"/>
      <c r="M69"/>
      <c r="N69" s="1079"/>
    </row>
    <row r="70" spans="1:14" s="936" customFormat="1">
      <c r="A70" s="1082"/>
      <c r="B70" s="1758"/>
      <c r="C70" s="1706" t="s">
        <v>11</v>
      </c>
      <c r="D70" s="1707"/>
      <c r="E70" s="1708"/>
      <c r="F70" s="1095">
        <v>-0.5</v>
      </c>
      <c r="G70" s="1094">
        <v>-0.5</v>
      </c>
      <c r="H70" s="1094">
        <v>-0.5</v>
      </c>
      <c r="I70" s="1094">
        <v>-0.5</v>
      </c>
      <c r="J70" s="1094">
        <v>-0.50000000000000022</v>
      </c>
      <c r="K70" s="1093">
        <v>-0.50000000000000022</v>
      </c>
      <c r="L70"/>
      <c r="M70"/>
      <c r="N70" s="1079"/>
    </row>
    <row r="71" spans="1:14" s="936" customFormat="1" ht="15.75" thickBot="1">
      <c r="A71" s="1082"/>
      <c r="B71" s="1759"/>
      <c r="C71" s="1712" t="s">
        <v>97</v>
      </c>
      <c r="D71" s="1713"/>
      <c r="E71" s="1714"/>
      <c r="F71" s="1088">
        <v>-1.0000000000000002</v>
      </c>
      <c r="G71" s="1087">
        <v>-1.0000000000000002</v>
      </c>
      <c r="H71" s="1087">
        <v>-1</v>
      </c>
      <c r="I71" s="1087">
        <v>-1</v>
      </c>
      <c r="J71" s="1087">
        <v>-1</v>
      </c>
      <c r="K71" s="1086">
        <v>-1</v>
      </c>
      <c r="L71"/>
      <c r="M71"/>
      <c r="N71" s="1079"/>
    </row>
    <row r="72" spans="1:14" s="936" customFormat="1">
      <c r="A72" s="1082"/>
      <c r="B72" s="1272" t="s">
        <v>646</v>
      </c>
      <c r="C72" s="1774" t="s">
        <v>95</v>
      </c>
      <c r="D72" s="1775"/>
      <c r="E72" s="1776"/>
      <c r="F72" s="1092">
        <v>0.625</v>
      </c>
      <c r="G72" s="1091">
        <v>0.625</v>
      </c>
      <c r="H72" s="1091">
        <v>0.625</v>
      </c>
      <c r="I72" s="1091">
        <v>0.625</v>
      </c>
      <c r="J72" s="1091">
        <v>0.75</v>
      </c>
      <c r="K72" s="1090">
        <v>0.75</v>
      </c>
      <c r="L72"/>
      <c r="M72"/>
      <c r="N72" s="1079"/>
    </row>
    <row r="73" spans="1:14" s="936" customFormat="1">
      <c r="A73" s="1082"/>
      <c r="B73" s="1273" t="s">
        <v>225</v>
      </c>
      <c r="C73" s="1706" t="s">
        <v>96</v>
      </c>
      <c r="D73" s="1707"/>
      <c r="E73" s="1708"/>
      <c r="F73" s="1173">
        <v>0.375</v>
      </c>
      <c r="G73" s="1172">
        <v>0.375</v>
      </c>
      <c r="H73" s="1172">
        <v>0.375</v>
      </c>
      <c r="I73" s="1172">
        <v>0.375</v>
      </c>
      <c r="J73" s="1172">
        <v>0.5</v>
      </c>
      <c r="K73" s="1171">
        <v>0.5</v>
      </c>
      <c r="L73"/>
      <c r="M73"/>
      <c r="N73" s="1079"/>
    </row>
    <row r="74" spans="1:14" s="936" customFormat="1">
      <c r="A74" s="1082"/>
      <c r="B74" s="1273" t="s">
        <v>647</v>
      </c>
      <c r="C74" s="1706" t="s">
        <v>7</v>
      </c>
      <c r="D74" s="1707"/>
      <c r="E74" s="1708"/>
      <c r="F74" s="1095">
        <v>0.125</v>
      </c>
      <c r="G74" s="1094">
        <v>0.125</v>
      </c>
      <c r="H74" s="1094">
        <v>0.125</v>
      </c>
      <c r="I74" s="1094">
        <v>0.125</v>
      </c>
      <c r="J74" s="1094">
        <v>0.25</v>
      </c>
      <c r="K74" s="1093">
        <v>0.25</v>
      </c>
      <c r="L74"/>
      <c r="M74"/>
      <c r="N74" s="1079"/>
    </row>
    <row r="75" spans="1:14" s="936" customFormat="1">
      <c r="A75" s="1082"/>
      <c r="B75" s="1273" t="s">
        <v>204</v>
      </c>
      <c r="C75" s="1706" t="s">
        <v>9</v>
      </c>
      <c r="D75" s="1707"/>
      <c r="E75" s="1708"/>
      <c r="F75" s="1095">
        <v>-0.375</v>
      </c>
      <c r="G75" s="1094">
        <v>-0.375</v>
      </c>
      <c r="H75" s="1094">
        <v>-0.375</v>
      </c>
      <c r="I75" s="1094">
        <v>-0.375</v>
      </c>
      <c r="J75" s="1094">
        <v>-0.25</v>
      </c>
      <c r="K75" s="1093">
        <v>-0.25</v>
      </c>
      <c r="L75"/>
      <c r="M75"/>
      <c r="N75" s="1079"/>
    </row>
    <row r="76" spans="1:14" s="936" customFormat="1">
      <c r="A76" s="1082"/>
      <c r="B76" s="1273" t="s">
        <v>648</v>
      </c>
      <c r="C76" s="1706" t="s">
        <v>11</v>
      </c>
      <c r="D76" s="1707"/>
      <c r="E76" s="1708"/>
      <c r="F76" s="1095">
        <v>-0.875</v>
      </c>
      <c r="G76" s="1094">
        <v>-0.875</v>
      </c>
      <c r="H76" s="1094">
        <v>-0.875</v>
      </c>
      <c r="I76" s="1094">
        <v>-0.875</v>
      </c>
      <c r="J76" s="1094">
        <v>-0.87500000000000022</v>
      </c>
      <c r="K76" s="1093">
        <v>-0.87500000000000022</v>
      </c>
      <c r="L76"/>
      <c r="M76"/>
      <c r="N76" s="1079"/>
    </row>
    <row r="77" spans="1:14" s="936" customFormat="1" ht="15.75" thickBot="1">
      <c r="A77" s="1082"/>
      <c r="B77" s="1089"/>
      <c r="C77" s="1718" t="s">
        <v>97</v>
      </c>
      <c r="D77" s="1719"/>
      <c r="E77" s="1720"/>
      <c r="F77" s="1302">
        <v>-1.0000000000000002</v>
      </c>
      <c r="G77" s="1158">
        <v>-1.0000000000000002</v>
      </c>
      <c r="H77" s="1158">
        <v>-1</v>
      </c>
      <c r="I77" s="1158">
        <v>-1</v>
      </c>
      <c r="J77" s="1158">
        <v>-1</v>
      </c>
      <c r="K77" s="1279">
        <v>-1</v>
      </c>
      <c r="L77"/>
      <c r="M77"/>
      <c r="N77" s="1079"/>
    </row>
    <row r="78" spans="1:14" s="936" customFormat="1">
      <c r="A78" s="1082"/>
      <c r="B78" s="1772" t="s">
        <v>68</v>
      </c>
      <c r="C78" s="1715" t="s">
        <v>69</v>
      </c>
      <c r="D78" s="1716"/>
      <c r="E78" s="1717"/>
      <c r="F78" s="1092">
        <v>-0.25</v>
      </c>
      <c r="G78" s="1091">
        <v>-0.25</v>
      </c>
      <c r="H78" s="1091">
        <v>-0.25</v>
      </c>
      <c r="I78" s="1091">
        <v>-0.25</v>
      </c>
      <c r="J78" s="1091">
        <v>-0.25</v>
      </c>
      <c r="K78" s="1090">
        <v>-0.5</v>
      </c>
      <c r="L78"/>
      <c r="M78"/>
      <c r="N78" s="1079"/>
    </row>
    <row r="79" spans="1:14" s="936" customFormat="1">
      <c r="A79" s="1082"/>
      <c r="B79" s="1760"/>
      <c r="C79" s="1706" t="s">
        <v>469</v>
      </c>
      <c r="D79" s="1707"/>
      <c r="E79" s="1708"/>
      <c r="F79" s="1095">
        <v>-1</v>
      </c>
      <c r="G79" s="1094">
        <v>-1</v>
      </c>
      <c r="H79" s="1094">
        <v>-1</v>
      </c>
      <c r="I79" s="1094">
        <v>-1</v>
      </c>
      <c r="J79" s="1094">
        <v>-1</v>
      </c>
      <c r="K79" s="1093">
        <v>-1</v>
      </c>
      <c r="L79"/>
      <c r="M79"/>
      <c r="N79" s="1079"/>
    </row>
    <row r="80" spans="1:14" s="936" customFormat="1" ht="15.75" thickBot="1">
      <c r="A80" s="1082"/>
      <c r="B80" s="1773"/>
      <c r="C80" s="1712" t="s">
        <v>653</v>
      </c>
      <c r="D80" s="1713"/>
      <c r="E80" s="1714"/>
      <c r="F80" s="1088">
        <v>-0.25</v>
      </c>
      <c r="G80" s="1087">
        <v>-0.25</v>
      </c>
      <c r="H80" s="1087">
        <v>-0.25</v>
      </c>
      <c r="I80" s="1087">
        <v>-0.25</v>
      </c>
      <c r="J80" s="1087">
        <v>-0.25</v>
      </c>
      <c r="K80" s="1086">
        <v>-0.25</v>
      </c>
      <c r="L80"/>
      <c r="M80"/>
      <c r="N80" s="1079"/>
    </row>
    <row r="81" spans="1:14" s="936" customFormat="1" ht="15.75" thickBot="1">
      <c r="A81" s="1082"/>
      <c r="B81" s="1089" t="s">
        <v>133</v>
      </c>
      <c r="C81" s="1709" t="s">
        <v>134</v>
      </c>
      <c r="D81" s="1710"/>
      <c r="E81" s="1711"/>
      <c r="F81" s="1088">
        <v>0</v>
      </c>
      <c r="G81" s="1087">
        <v>0</v>
      </c>
      <c r="H81" s="1087">
        <v>0</v>
      </c>
      <c r="I81" s="1087">
        <v>0</v>
      </c>
      <c r="J81" s="1087">
        <v>0</v>
      </c>
      <c r="K81" s="1086">
        <v>-0.25</v>
      </c>
      <c r="L81"/>
      <c r="M81"/>
      <c r="N81" s="1079"/>
    </row>
    <row r="82" spans="1:14" s="936" customFormat="1">
      <c r="A82" s="1082"/>
      <c r="N82" s="1079"/>
    </row>
    <row r="83" spans="1:14" s="936" customFormat="1">
      <c r="A83" s="1082"/>
      <c r="N83" s="1079"/>
    </row>
    <row r="84" spans="1:14" s="936" customFormat="1">
      <c r="A84" s="1082"/>
      <c r="N84" s="1079"/>
    </row>
    <row r="85" spans="1:14" s="936" customFormat="1">
      <c r="A85" s="1082"/>
      <c r="N85" s="1079"/>
    </row>
    <row r="86" spans="1:14" s="936" customFormat="1">
      <c r="A86" s="1082"/>
      <c r="N86" s="1079"/>
    </row>
    <row r="87" spans="1:14" s="936" customFormat="1">
      <c r="A87" s="1082"/>
      <c r="N87" s="1079"/>
    </row>
    <row r="88" spans="1:14" s="936" customFormat="1">
      <c r="A88" s="1082"/>
      <c r="N88" s="1079"/>
    </row>
    <row r="89" spans="1:14" s="936" customFormat="1">
      <c r="A89" s="1082"/>
      <c r="N89" s="1079"/>
    </row>
    <row r="90" spans="1:14" s="936" customFormat="1">
      <c r="A90" s="1082"/>
      <c r="N90" s="1079"/>
    </row>
    <row r="91" spans="1:14" s="936" customFormat="1" ht="15" customHeight="1">
      <c r="A91" s="1082"/>
      <c r="N91" s="1079"/>
    </row>
    <row r="92" spans="1:14" s="936" customFormat="1" ht="15" customHeight="1">
      <c r="A92" s="1082"/>
      <c r="N92" s="1079"/>
    </row>
    <row r="93" spans="1:14" s="936" customFormat="1" ht="15" customHeight="1">
      <c r="A93" s="1082"/>
      <c r="N93" s="1079"/>
    </row>
    <row r="94" spans="1:14" s="936" customFormat="1" ht="15" customHeight="1">
      <c r="A94" s="1082"/>
      <c r="N94" s="1079"/>
    </row>
    <row r="95" spans="1:14" s="936" customFormat="1" ht="15" customHeight="1">
      <c r="A95" s="1082"/>
      <c r="N95" s="1079"/>
    </row>
    <row r="96" spans="1:14" s="936" customFormat="1">
      <c r="A96" s="1082"/>
      <c r="N96" s="1079"/>
    </row>
    <row r="97" spans="1:14" s="936" customFormat="1">
      <c r="A97" s="1082"/>
      <c r="N97" s="1079"/>
    </row>
    <row r="98" spans="1:14" s="936" customFormat="1">
      <c r="A98" s="1082"/>
      <c r="N98" s="1079"/>
    </row>
    <row r="99" spans="1:14" s="936" customFormat="1">
      <c r="A99" s="1082"/>
      <c r="N99" s="1079"/>
    </row>
    <row r="100" spans="1:14" s="936" customFormat="1">
      <c r="A100" s="1082"/>
      <c r="G100" s="1081"/>
      <c r="H100" s="1080"/>
      <c r="N100" s="1079"/>
    </row>
    <row r="101" spans="1:14" s="936" customFormat="1">
      <c r="A101" s="1082"/>
      <c r="G101" s="1081"/>
      <c r="H101" s="1080"/>
      <c r="N101" s="1079"/>
    </row>
    <row r="102" spans="1:14" s="936" customFormat="1">
      <c r="A102" s="1082"/>
      <c r="G102" s="1081"/>
      <c r="H102" s="1080"/>
      <c r="N102" s="1079"/>
    </row>
    <row r="103" spans="1:14" s="936" customFormat="1">
      <c r="A103" s="1082"/>
      <c r="G103" s="1081"/>
      <c r="H103" s="1080"/>
      <c r="N103" s="1079"/>
    </row>
    <row r="104" spans="1:14" s="936" customFormat="1">
      <c r="A104" s="1082"/>
      <c r="G104" s="1081"/>
      <c r="H104" s="1080"/>
      <c r="N104" s="1079"/>
    </row>
    <row r="105" spans="1:14" s="936" customFormat="1">
      <c r="A105" s="1082"/>
      <c r="N105" s="1079"/>
    </row>
    <row r="106" spans="1:14" s="936" customFormat="1">
      <c r="A106" s="1082"/>
      <c r="N106" s="1079"/>
    </row>
    <row r="107" spans="1:14" s="936" customFormat="1">
      <c r="A107" s="1082"/>
      <c r="N107" s="1079"/>
    </row>
    <row r="108" spans="1:14" s="936" customFormat="1">
      <c r="A108" s="1082"/>
      <c r="N108" s="1079"/>
    </row>
    <row r="109" spans="1:14" s="936" customFormat="1">
      <c r="A109" s="1082"/>
      <c r="N109" s="1079"/>
    </row>
    <row r="110" spans="1:14" s="936" customFormat="1">
      <c r="A110" s="1082"/>
      <c r="N110" s="1079"/>
    </row>
    <row r="111" spans="1:14" s="936" customFormat="1">
      <c r="A111" s="1082"/>
      <c r="N111" s="1079"/>
    </row>
    <row r="112" spans="1:14" s="936" customFormat="1" ht="15" customHeight="1" thickBot="1">
      <c r="A112" s="1149"/>
      <c r="N112" s="949"/>
    </row>
    <row r="113" spans="1:14" s="936" customFormat="1">
      <c r="A113" s="945"/>
      <c r="B113" s="1799" t="s">
        <v>181</v>
      </c>
      <c r="C113" s="1799"/>
      <c r="D113" s="1799"/>
      <c r="E113" s="1799"/>
      <c r="F113" s="1799"/>
      <c r="G113" s="1799"/>
      <c r="H113" s="1799"/>
      <c r="I113" s="1799"/>
      <c r="J113" s="1799"/>
      <c r="K113" s="1799"/>
      <c r="L113" s="1799"/>
      <c r="M113" s="1799"/>
      <c r="N113" s="943"/>
    </row>
    <row r="114" spans="1:14" s="936" customFormat="1">
      <c r="A114" s="942"/>
      <c r="B114" s="1800"/>
      <c r="C114" s="1800"/>
      <c r="D114" s="1800"/>
      <c r="E114" s="1800"/>
      <c r="F114" s="1800"/>
      <c r="G114" s="1800"/>
      <c r="H114" s="1800"/>
      <c r="I114" s="1800"/>
      <c r="J114" s="1800"/>
      <c r="K114" s="1800"/>
      <c r="L114" s="1800"/>
      <c r="M114" s="1800"/>
      <c r="N114" s="940"/>
    </row>
    <row r="115" spans="1:14" s="936" customFormat="1">
      <c r="A115" s="942"/>
      <c r="B115" s="1800"/>
      <c r="C115" s="1800"/>
      <c r="D115" s="1800"/>
      <c r="E115" s="1800"/>
      <c r="F115" s="1800"/>
      <c r="G115" s="1800"/>
      <c r="H115" s="1800"/>
      <c r="I115" s="1800"/>
      <c r="J115" s="1800"/>
      <c r="K115" s="1800"/>
      <c r="L115" s="1800"/>
      <c r="M115" s="1800"/>
      <c r="N115" s="940"/>
    </row>
    <row r="116" spans="1:14" ht="15.75" thickBot="1">
      <c r="A116" s="939"/>
      <c r="B116" s="1801"/>
      <c r="C116" s="1801"/>
      <c r="D116" s="1801"/>
      <c r="E116" s="1801"/>
      <c r="F116" s="1801"/>
      <c r="G116" s="1801"/>
      <c r="H116" s="1801"/>
      <c r="I116" s="1801"/>
      <c r="J116" s="1801"/>
      <c r="K116" s="1801"/>
      <c r="L116" s="1801"/>
      <c r="M116" s="1801"/>
      <c r="N116" s="938"/>
    </row>
  </sheetData>
  <mergeCells count="69"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C62:E62"/>
    <mergeCell ref="C63:E63"/>
    <mergeCell ref="C55:E55"/>
    <mergeCell ref="C56:E56"/>
    <mergeCell ref="C57:E57"/>
    <mergeCell ref="C58:E58"/>
    <mergeCell ref="C59:E59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P10:R10"/>
    <mergeCell ref="C12:E12"/>
    <mergeCell ref="G14:H14"/>
    <mergeCell ref="K14:L14"/>
    <mergeCell ref="G15:H15"/>
    <mergeCell ref="K15:L15"/>
    <mergeCell ref="A10:N11"/>
    <mergeCell ref="J2:K2"/>
    <mergeCell ref="L2:M2"/>
    <mergeCell ref="K3:M3"/>
    <mergeCell ref="L4:M4"/>
    <mergeCell ref="L5:M5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43" zoomScaleNormal="130" workbookViewId="0">
      <selection activeCell="G54" sqref="G5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338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1228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332</v>
      </c>
      <c r="D28" s="1680"/>
      <c r="E28" s="1680"/>
      <c r="F28" s="1680"/>
      <c r="G28" s="342"/>
      <c r="H28" s="317"/>
      <c r="I28" s="1681" t="s">
        <v>678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320</v>
      </c>
      <c r="D29" s="345"/>
      <c r="E29" s="345"/>
      <c r="F29" s="115"/>
      <c r="G29" s="116" t="s">
        <v>171</v>
      </c>
      <c r="H29" s="317"/>
      <c r="I29" s="1681" t="s">
        <v>385</v>
      </c>
      <c r="J29" s="1682"/>
      <c r="K29" s="1682"/>
      <c r="L29" s="1682"/>
      <c r="M29" s="1682"/>
      <c r="N29" s="1682"/>
      <c r="O29" s="1683"/>
      <c r="P29" s="318"/>
      <c r="Q29" s="440"/>
    </row>
    <row r="30" spans="1:17" ht="13.5" customHeight="1">
      <c r="A30" s="316"/>
      <c r="B30" s="351"/>
      <c r="C30" s="587" t="s">
        <v>333</v>
      </c>
      <c r="D30" s="345"/>
      <c r="E30" s="345"/>
      <c r="F30" s="115"/>
      <c r="G30" s="116" t="s">
        <v>172</v>
      </c>
      <c r="H30" s="317"/>
      <c r="I30" s="368"/>
      <c r="J30" s="1664" t="s">
        <v>384</v>
      </c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746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802"/>
      <c r="D61" s="1802"/>
      <c r="E61" s="1802"/>
      <c r="F61" s="1802"/>
      <c r="G61" s="1802"/>
      <c r="H61" s="1802"/>
      <c r="I61" s="1802"/>
      <c r="J61" s="1802"/>
      <c r="K61" s="1802"/>
      <c r="L61" s="1802"/>
      <c r="M61" s="1802"/>
      <c r="N61" s="1802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workbookViewId="0">
      <selection activeCell="G54" sqref="G54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26.25">
      <c r="A2" s="38"/>
      <c r="B2" s="39"/>
      <c r="C2" s="1803" t="s">
        <v>254</v>
      </c>
      <c r="D2" s="1803"/>
      <c r="E2" s="1803"/>
      <c r="F2" s="1803"/>
      <c r="G2" s="1803"/>
      <c r="H2" s="1803"/>
      <c r="I2" s="1804"/>
      <c r="J2" s="91"/>
      <c r="K2" s="1251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44"/>
      <c r="J3" s="603"/>
      <c r="K3" s="1252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J4" s="65"/>
      <c r="K4" s="65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5.75" thickBot="1"/>
    <row r="7" spans="1:14" ht="15.75" thickBot="1">
      <c r="A7" s="1805" t="s">
        <v>140</v>
      </c>
      <c r="B7" s="1806"/>
      <c r="C7" s="1806"/>
      <c r="D7" s="1807"/>
      <c r="E7" s="66"/>
      <c r="G7" s="1808" t="s">
        <v>2</v>
      </c>
      <c r="H7" s="1809"/>
      <c r="L7" s="578" t="s">
        <v>317</v>
      </c>
      <c r="M7" s="578"/>
      <c r="N7" s="1414">
        <v>46223.360254629632</v>
      </c>
    </row>
    <row r="8" spans="1:14" ht="15.75" thickBot="1">
      <c r="G8" s="67" t="s">
        <v>8</v>
      </c>
      <c r="H8" s="17">
        <v>0</v>
      </c>
      <c r="L8" s="418"/>
      <c r="M8" s="418"/>
      <c r="N8" s="418"/>
    </row>
    <row r="9" spans="1:14" ht="15.75" thickBot="1">
      <c r="A9" s="49" t="s">
        <v>3</v>
      </c>
      <c r="B9" s="50" t="s">
        <v>13</v>
      </c>
      <c r="C9" s="50" t="s">
        <v>87</v>
      </c>
      <c r="D9" s="51" t="s">
        <v>91</v>
      </c>
      <c r="E9" s="52"/>
      <c r="G9" s="633" t="s">
        <v>10</v>
      </c>
      <c r="H9" s="634">
        <v>-0.375</v>
      </c>
      <c r="L9" s="441" t="s">
        <v>195</v>
      </c>
      <c r="M9" s="442" t="s">
        <v>196</v>
      </c>
      <c r="N9" s="442" t="s">
        <v>197</v>
      </c>
    </row>
    <row r="10" spans="1:14" ht="15.75" thickBot="1">
      <c r="A10" s="104">
        <f>margins!Y5</f>
        <v>7.625</v>
      </c>
      <c r="B10" s="94">
        <v>95.195999999999998</v>
      </c>
      <c r="C10" s="94">
        <v>94.646000000000001</v>
      </c>
      <c r="D10" s="105">
        <v>94.146000000000001</v>
      </c>
      <c r="E10" s="55"/>
      <c r="G10" s="637"/>
      <c r="H10" s="638"/>
      <c r="L10" s="418"/>
      <c r="M10" s="418"/>
      <c r="N10" s="418"/>
    </row>
    <row r="11" spans="1:14">
      <c r="A11" s="106">
        <f>margins!Y6</f>
        <v>7.75</v>
      </c>
      <c r="B11" s="95">
        <v>95.858000000000004</v>
      </c>
      <c r="C11" s="95">
        <v>95.308000000000007</v>
      </c>
      <c r="D11" s="107">
        <v>94.808000000000007</v>
      </c>
      <c r="E11" s="55"/>
      <c r="G11" s="635" t="s">
        <v>94</v>
      </c>
      <c r="H11" s="636" t="s">
        <v>6</v>
      </c>
      <c r="L11" s="579" t="s">
        <v>198</v>
      </c>
      <c r="M11" s="580" t="s">
        <v>91</v>
      </c>
      <c r="N11" s="435"/>
    </row>
    <row r="12" spans="1:14">
      <c r="A12" s="104">
        <f>margins!Y7</f>
        <v>7.875</v>
      </c>
      <c r="B12" s="94">
        <v>96.52</v>
      </c>
      <c r="C12" s="94">
        <v>95.97</v>
      </c>
      <c r="D12" s="105">
        <v>95.47</v>
      </c>
      <c r="E12" s="55"/>
      <c r="G12" s="56" t="s">
        <v>95</v>
      </c>
      <c r="H12" s="111">
        <v>101</v>
      </c>
      <c r="L12" s="581" t="s">
        <v>199</v>
      </c>
      <c r="M12" s="582">
        <v>9</v>
      </c>
      <c r="N12" s="436">
        <f>IF(M11="7/6 Arm",VLOOKUP(M12,$A$10:$D$38,2,FALSE),IF(M11="10/6 Arm",VLOOKUP(M12,$A$10:$D$38,3,FALSE),VLOOKUP(M12,$A$10:$D$38,4,FALSE)))</f>
        <v>101.27800000000001</v>
      </c>
    </row>
    <row r="13" spans="1:14">
      <c r="A13" s="106">
        <f>margins!Y8</f>
        <v>8</v>
      </c>
      <c r="B13" s="95">
        <v>97.182000000000002</v>
      </c>
      <c r="C13" s="95">
        <v>96.632000000000005</v>
      </c>
      <c r="D13" s="107">
        <v>96.132000000000005</v>
      </c>
      <c r="E13" s="55"/>
      <c r="G13" s="56" t="s">
        <v>96</v>
      </c>
      <c r="H13" s="111">
        <v>101</v>
      </c>
      <c r="L13" s="581" t="s">
        <v>353</v>
      </c>
      <c r="M13" s="582" t="s">
        <v>19</v>
      </c>
      <c r="N13" s="436"/>
    </row>
    <row r="14" spans="1:14">
      <c r="A14" s="104">
        <f>margins!Y9</f>
        <v>8.125</v>
      </c>
      <c r="B14" s="94">
        <v>97.844000000000008</v>
      </c>
      <c r="C14" s="94">
        <v>97.293999999999997</v>
      </c>
      <c r="D14" s="105">
        <v>96.793999999999997</v>
      </c>
      <c r="E14" s="55"/>
      <c r="G14" s="56" t="s">
        <v>7</v>
      </c>
      <c r="H14" s="111">
        <v>101</v>
      </c>
      <c r="L14" s="581" t="s">
        <v>200</v>
      </c>
      <c r="M14" s="582" t="s">
        <v>26</v>
      </c>
      <c r="N14" s="436">
        <f>IFERROR(INDEX($C$42:$H$47,MATCH(M14,B42:B47,0),MATCH(M13,C41:H41,0),1),0)</f>
        <v>-1</v>
      </c>
    </row>
    <row r="15" spans="1:14">
      <c r="A15" s="106">
        <f>margins!Y10</f>
        <v>8.25</v>
      </c>
      <c r="B15" s="95">
        <v>98.506</v>
      </c>
      <c r="C15" s="95">
        <v>97.956000000000003</v>
      </c>
      <c r="D15" s="107">
        <v>97.456000000000003</v>
      </c>
      <c r="E15" s="55"/>
      <c r="G15" s="56" t="s">
        <v>9</v>
      </c>
      <c r="H15" s="111">
        <v>101</v>
      </c>
      <c r="L15" s="581" t="s">
        <v>71</v>
      </c>
      <c r="M15" s="582" t="s">
        <v>191</v>
      </c>
      <c r="N15" s="436">
        <f t="shared" ref="N15:N23" si="0">IFERROR(INDEX($C$51:$H$70,MATCH(M15,$B$51:$B$70,0),MATCH($M$13,$C$41:$H$41,0),1),0)</f>
        <v>0</v>
      </c>
    </row>
    <row r="16" spans="1:14">
      <c r="A16" s="104">
        <f>margins!Y11</f>
        <v>8.375</v>
      </c>
      <c r="B16" s="94">
        <v>99.168000000000006</v>
      </c>
      <c r="C16" s="94">
        <v>98.618000000000009</v>
      </c>
      <c r="D16" s="105">
        <v>98.118000000000009</v>
      </c>
      <c r="E16" s="55"/>
      <c r="G16" s="56" t="s">
        <v>11</v>
      </c>
      <c r="H16" s="111">
        <v>99.275000000000006</v>
      </c>
      <c r="L16" s="581" t="s">
        <v>201</v>
      </c>
      <c r="M16" s="582" t="s">
        <v>191</v>
      </c>
      <c r="N16" s="436">
        <f t="shared" si="0"/>
        <v>0</v>
      </c>
    </row>
    <row r="17" spans="1:14" ht="15.75" thickBot="1">
      <c r="A17" s="106">
        <f>margins!Y12</f>
        <v>8.5</v>
      </c>
      <c r="B17" s="95">
        <v>99.83</v>
      </c>
      <c r="C17" s="95">
        <v>99.28</v>
      </c>
      <c r="D17" s="107">
        <v>98.78</v>
      </c>
      <c r="E17" s="55"/>
      <c r="G17" s="59" t="s">
        <v>97</v>
      </c>
      <c r="H17" s="112">
        <v>98.275000000000006</v>
      </c>
      <c r="L17" s="581" t="s">
        <v>47</v>
      </c>
      <c r="M17" s="582" t="s">
        <v>191</v>
      </c>
      <c r="N17" s="436">
        <f t="shared" si="0"/>
        <v>0</v>
      </c>
    </row>
    <row r="18" spans="1:14">
      <c r="A18" s="104">
        <f>margins!Y13</f>
        <v>8.625</v>
      </c>
      <c r="B18" s="94">
        <v>100.492</v>
      </c>
      <c r="C18" s="94">
        <v>99.942000000000007</v>
      </c>
      <c r="D18" s="105">
        <v>99.442000000000007</v>
      </c>
      <c r="E18" s="55"/>
      <c r="G18" s="1081"/>
      <c r="H18" s="1277"/>
      <c r="I18" s="1277"/>
      <c r="J18" s="1"/>
      <c r="K18" s="1"/>
      <c r="L18" s="581" t="s">
        <v>56</v>
      </c>
      <c r="M18" s="582" t="s">
        <v>191</v>
      </c>
      <c r="N18" s="436">
        <f t="shared" si="0"/>
        <v>0</v>
      </c>
    </row>
    <row r="19" spans="1:14" ht="15" customHeight="1">
      <c r="A19" s="106">
        <f>margins!Y14</f>
        <v>8.75</v>
      </c>
      <c r="B19" s="95">
        <v>101.154</v>
      </c>
      <c r="C19" s="95">
        <v>100.604</v>
      </c>
      <c r="D19" s="107">
        <v>100.104</v>
      </c>
      <c r="E19" s="55"/>
      <c r="G19" s="22" t="s">
        <v>141</v>
      </c>
      <c r="H19" s="1"/>
      <c r="I19" s="1"/>
      <c r="J19" s="1"/>
      <c r="K19" s="1"/>
      <c r="L19" s="581" t="s">
        <v>62</v>
      </c>
      <c r="M19" s="582" t="s">
        <v>191</v>
      </c>
      <c r="N19" s="436">
        <f t="shared" si="0"/>
        <v>0</v>
      </c>
    </row>
    <row r="20" spans="1:14">
      <c r="A20" s="104">
        <f>margins!Y15</f>
        <v>8.875</v>
      </c>
      <c r="B20" s="94">
        <v>101.741</v>
      </c>
      <c r="C20" s="94">
        <v>101.191</v>
      </c>
      <c r="D20" s="105">
        <v>100.691</v>
      </c>
      <c r="E20" s="55"/>
      <c r="G20" s="22" t="s">
        <v>729</v>
      </c>
      <c r="H20" s="1"/>
      <c r="I20" s="1"/>
      <c r="J20" s="1"/>
      <c r="K20" s="1"/>
      <c r="L20" s="581" t="s">
        <v>136</v>
      </c>
      <c r="M20" s="582" t="s">
        <v>191</v>
      </c>
      <c r="N20" s="436">
        <f t="shared" si="0"/>
        <v>0</v>
      </c>
    </row>
    <row r="21" spans="1:14" ht="15" customHeight="1">
      <c r="A21" s="106">
        <f>margins!Y16</f>
        <v>9</v>
      </c>
      <c r="B21" s="95">
        <v>102.328</v>
      </c>
      <c r="C21" s="95">
        <v>101.77800000000001</v>
      </c>
      <c r="D21" s="107">
        <v>101.27800000000001</v>
      </c>
      <c r="E21" s="55"/>
      <c r="G21" s="22" t="s">
        <v>730</v>
      </c>
      <c r="H21" s="1"/>
      <c r="I21" s="1"/>
      <c r="J21" s="1"/>
      <c r="K21" s="1"/>
      <c r="L21" s="581" t="s">
        <v>203</v>
      </c>
      <c r="M21" s="582" t="s">
        <v>95</v>
      </c>
      <c r="N21" s="436">
        <f t="shared" si="0"/>
        <v>1</v>
      </c>
    </row>
    <row r="22" spans="1:14">
      <c r="A22" s="104">
        <f>margins!Y17</f>
        <v>9.125</v>
      </c>
      <c r="B22" s="94">
        <v>102.91500000000001</v>
      </c>
      <c r="C22" s="94">
        <v>102.36500000000001</v>
      </c>
      <c r="D22" s="105">
        <v>101.86500000000001</v>
      </c>
      <c r="E22" s="55"/>
      <c r="G22" s="22" t="s">
        <v>731</v>
      </c>
      <c r="H22" s="1"/>
      <c r="I22" s="1"/>
      <c r="J22" s="1"/>
      <c r="K22" s="1"/>
      <c r="L22" s="581" t="s">
        <v>69</v>
      </c>
      <c r="M22" s="582" t="s">
        <v>191</v>
      </c>
      <c r="N22" s="436">
        <f t="shared" si="0"/>
        <v>0</v>
      </c>
    </row>
    <row r="23" spans="1:14">
      <c r="A23" s="106">
        <f>margins!Y18</f>
        <v>9.25</v>
      </c>
      <c r="B23" s="95">
        <v>103.50200000000001</v>
      </c>
      <c r="C23" s="95">
        <v>102.952</v>
      </c>
      <c r="D23" s="107">
        <v>102.452</v>
      </c>
      <c r="E23" s="55"/>
      <c r="G23" s="22" t="s">
        <v>736</v>
      </c>
      <c r="H23" s="1"/>
      <c r="I23" s="1"/>
      <c r="J23" s="1"/>
      <c r="K23" s="1"/>
      <c r="L23" s="581" t="s">
        <v>161</v>
      </c>
      <c r="M23" s="582" t="s">
        <v>191</v>
      </c>
      <c r="N23" s="436">
        <f t="shared" si="0"/>
        <v>0</v>
      </c>
    </row>
    <row r="24" spans="1:14">
      <c r="A24" s="104">
        <f>margins!Y19</f>
        <v>9.375</v>
      </c>
      <c r="B24" s="94">
        <v>104.027</v>
      </c>
      <c r="C24" s="94">
        <v>103.477</v>
      </c>
      <c r="D24" s="105">
        <v>102.977</v>
      </c>
      <c r="E24" s="55"/>
      <c r="G24" s="22" t="s">
        <v>215</v>
      </c>
      <c r="H24" s="1"/>
      <c r="I24" s="1"/>
      <c r="J24" s="1"/>
      <c r="K24" s="1"/>
      <c r="L24" s="581" t="s">
        <v>205</v>
      </c>
      <c r="M24" s="582">
        <v>15</v>
      </c>
      <c r="N24" s="436">
        <f>IF(M24=15,0,H9)</f>
        <v>0</v>
      </c>
    </row>
    <row r="25" spans="1:14" ht="15.75" customHeight="1" thickBot="1">
      <c r="A25" s="106">
        <f>margins!Y20</f>
        <v>9.5</v>
      </c>
      <c r="B25" s="95">
        <v>104.55200000000001</v>
      </c>
      <c r="C25" s="95">
        <v>104.00200000000001</v>
      </c>
      <c r="D25" s="107">
        <v>103.50200000000001</v>
      </c>
      <c r="E25" s="55"/>
      <c r="G25" s="1523"/>
      <c r="H25" s="1523"/>
      <c r="I25" s="1523"/>
      <c r="J25" s="1"/>
      <c r="K25" s="1"/>
      <c r="L25" s="583" t="s">
        <v>206</v>
      </c>
      <c r="M25" s="433"/>
      <c r="N25" s="437">
        <f>SUM(N14:N24)</f>
        <v>0</v>
      </c>
    </row>
    <row r="26" spans="1:14" ht="15.75" thickBot="1">
      <c r="A26" s="104">
        <f>margins!Y21</f>
        <v>9.625</v>
      </c>
      <c r="B26" s="94">
        <v>105.077</v>
      </c>
      <c r="C26" s="94">
        <v>104.527</v>
      </c>
      <c r="D26" s="105">
        <v>104.027</v>
      </c>
      <c r="E26" s="55"/>
      <c r="G26" s="1523"/>
      <c r="H26" s="1523"/>
      <c r="I26" s="1523"/>
      <c r="J26" s="1"/>
      <c r="K26" s="1"/>
      <c r="L26" s="420"/>
      <c r="M26" s="421"/>
      <c r="N26" s="430"/>
    </row>
    <row r="27" spans="1:14" ht="15.75" thickBot="1">
      <c r="A27" s="106">
        <f>margins!Y22</f>
        <v>9.75</v>
      </c>
      <c r="B27" s="95">
        <v>105.602</v>
      </c>
      <c r="C27" s="95">
        <v>105.05200000000001</v>
      </c>
      <c r="D27" s="107">
        <v>104.55200000000001</v>
      </c>
      <c r="E27" s="55"/>
      <c r="G27" s="1780"/>
      <c r="H27" s="1780"/>
      <c r="I27" s="1780"/>
      <c r="J27" s="1"/>
      <c r="K27" s="1"/>
      <c r="L27" s="422" t="s">
        <v>207</v>
      </c>
      <c r="M27" s="423"/>
      <c r="N27" s="438">
        <f>IF(ISNUMBER(MATCH("NA", N14:N24, 0)), "NA", MIN(N25+N12,VLOOKUP($M$21,$G$12:$H$17,2,FALSE)))</f>
        <v>101</v>
      </c>
    </row>
    <row r="28" spans="1:14" ht="15.75" thickBot="1">
      <c r="A28" s="104">
        <f>margins!Y23</f>
        <v>9.875</v>
      </c>
      <c r="B28" s="94">
        <v>106.12700000000001</v>
      </c>
      <c r="C28" s="94">
        <v>105.577</v>
      </c>
      <c r="D28" s="105">
        <v>105.077</v>
      </c>
      <c r="E28" s="55"/>
      <c r="G28" s="1780"/>
      <c r="H28" s="1780"/>
      <c r="I28" s="1780"/>
      <c r="J28" s="1"/>
      <c r="K28" s="1"/>
      <c r="L28" s="417"/>
      <c r="M28" s="417"/>
      <c r="N28" s="417"/>
    </row>
    <row r="29" spans="1:14" ht="15.75" thickBot="1">
      <c r="A29" s="106">
        <f>margins!Y24</f>
        <v>10</v>
      </c>
      <c r="B29" s="95">
        <v>106.652</v>
      </c>
      <c r="C29" s="95">
        <v>106.102</v>
      </c>
      <c r="D29" s="107">
        <v>105.602</v>
      </c>
      <c r="E29" s="55"/>
      <c r="G29" s="1780"/>
      <c r="H29" s="1780"/>
      <c r="I29" s="1780"/>
      <c r="J29" s="1"/>
      <c r="K29" s="1"/>
      <c r="L29" s="746" t="s">
        <v>445</v>
      </c>
      <c r="M29" s="744"/>
      <c r="N29" s="745"/>
    </row>
    <row r="30" spans="1:14" ht="15.75" thickBot="1">
      <c r="A30" s="104">
        <f>margins!Y25</f>
        <v>10.125</v>
      </c>
      <c r="B30" s="94">
        <v>107.17700000000001</v>
      </c>
      <c r="C30" s="94">
        <v>106.62700000000001</v>
      </c>
      <c r="D30" s="105">
        <v>106.12700000000001</v>
      </c>
      <c r="E30" s="55"/>
      <c r="G30" s="1780"/>
      <c r="H30" s="1780"/>
      <c r="I30" s="1780"/>
      <c r="J30" s="1"/>
      <c r="K30" s="1"/>
    </row>
    <row r="31" spans="1:14">
      <c r="A31" s="106">
        <f>margins!Y26</f>
        <v>10.25</v>
      </c>
      <c r="B31" s="95">
        <v>107.702</v>
      </c>
      <c r="C31" s="95">
        <v>107.152</v>
      </c>
      <c r="D31" s="107">
        <v>106.652</v>
      </c>
      <c r="E31" s="55"/>
      <c r="J31" s="1"/>
      <c r="K31" s="1"/>
      <c r="L31" s="1810" t="s">
        <v>142</v>
      </c>
      <c r="M31" s="1811"/>
      <c r="N31" s="1812"/>
    </row>
    <row r="32" spans="1:14">
      <c r="A32" s="104">
        <f>margins!Y27</f>
        <v>10.375</v>
      </c>
      <c r="B32" s="94">
        <v>108.227</v>
      </c>
      <c r="C32" s="94">
        <v>107.67700000000001</v>
      </c>
      <c r="D32" s="105">
        <v>107.17700000000001</v>
      </c>
      <c r="E32" s="55"/>
      <c r="J32" s="1"/>
      <c r="K32" s="1"/>
      <c r="L32" s="68" t="s">
        <v>143</v>
      </c>
      <c r="M32" s="1813" t="s">
        <v>144</v>
      </c>
      <c r="N32" s="1814"/>
    </row>
    <row r="33" spans="1:14" ht="15.75" thickBot="1">
      <c r="A33" s="106">
        <f>margins!Y28</f>
        <v>10.5</v>
      </c>
      <c r="B33" s="95">
        <v>108.75200000000001</v>
      </c>
      <c r="C33" s="95">
        <v>108.202</v>
      </c>
      <c r="D33" s="107">
        <v>107.702</v>
      </c>
      <c r="E33" s="55"/>
      <c r="G33" s="1"/>
      <c r="H33" s="1"/>
      <c r="I33" s="1"/>
      <c r="J33" s="1"/>
      <c r="K33" s="1"/>
      <c r="L33" s="68" t="s">
        <v>145</v>
      </c>
      <c r="M33" s="1813" t="s">
        <v>724</v>
      </c>
      <c r="N33" s="1814"/>
    </row>
    <row r="34" spans="1:14">
      <c r="A34" s="104">
        <f>margins!Y29</f>
        <v>10.625</v>
      </c>
      <c r="B34" s="94">
        <v>109.277</v>
      </c>
      <c r="C34" s="94">
        <v>108.727</v>
      </c>
      <c r="D34" s="105">
        <v>108.227</v>
      </c>
      <c r="E34" s="55"/>
      <c r="G34" s="1229" t="s">
        <v>99</v>
      </c>
      <c r="H34" s="1230"/>
      <c r="I34" s="1"/>
      <c r="J34" s="1"/>
      <c r="K34" s="1"/>
      <c r="L34" s="68" t="s">
        <v>146</v>
      </c>
      <c r="M34" s="1813" t="s">
        <v>147</v>
      </c>
      <c r="N34" s="1814"/>
    </row>
    <row r="35" spans="1:14">
      <c r="A35" s="106">
        <f>margins!Y30</f>
        <v>10.75</v>
      </c>
      <c r="B35" s="95">
        <v>109.739</v>
      </c>
      <c r="C35" s="95">
        <v>109.18900000000001</v>
      </c>
      <c r="D35" s="107">
        <v>108.68900000000001</v>
      </c>
      <c r="E35" s="55"/>
      <c r="G35" s="70" t="s">
        <v>100</v>
      </c>
      <c r="H35" s="71" t="s">
        <v>101</v>
      </c>
      <c r="I35" s="1"/>
      <c r="J35" s="1"/>
      <c r="K35" s="1"/>
      <c r="L35" s="68" t="s">
        <v>148</v>
      </c>
      <c r="M35" s="1813" t="s">
        <v>149</v>
      </c>
      <c r="N35" s="1814"/>
    </row>
    <row r="36" spans="1:14">
      <c r="A36" s="104">
        <f>margins!Y31</f>
        <v>10.875</v>
      </c>
      <c r="B36" s="94">
        <v>110.139</v>
      </c>
      <c r="C36" s="94">
        <v>109.589</v>
      </c>
      <c r="D36" s="105">
        <v>109.089</v>
      </c>
      <c r="E36" s="55"/>
      <c r="G36" s="70" t="s">
        <v>102</v>
      </c>
      <c r="H36" s="72">
        <v>6.5000000000000002E-2</v>
      </c>
      <c r="I36" s="1"/>
      <c r="J36" s="1"/>
      <c r="K36" s="1"/>
      <c r="L36" s="68" t="s">
        <v>150</v>
      </c>
      <c r="M36" s="1813" t="s">
        <v>151</v>
      </c>
      <c r="N36" s="1814"/>
    </row>
    <row r="37" spans="1:14" ht="15.75" thickBot="1">
      <c r="A37" s="106">
        <f>margins!Y32</f>
        <v>11</v>
      </c>
      <c r="B37" s="95">
        <v>110.539</v>
      </c>
      <c r="C37" s="95">
        <v>109.989</v>
      </c>
      <c r="D37" s="107">
        <v>109.489</v>
      </c>
      <c r="E37" s="55"/>
      <c r="G37" s="73" t="s">
        <v>154</v>
      </c>
      <c r="H37" s="74" t="s">
        <v>155</v>
      </c>
      <c r="I37" s="1"/>
      <c r="J37" s="1"/>
      <c r="K37" s="1"/>
      <c r="L37" s="69" t="s">
        <v>152</v>
      </c>
      <c r="M37" s="1818" t="s">
        <v>153</v>
      </c>
      <c r="N37" s="1819"/>
    </row>
    <row r="38" spans="1:14" ht="15.75" thickBot="1">
      <c r="A38" s="108">
        <f>margins!Y33</f>
        <v>11.125</v>
      </c>
      <c r="B38" s="109">
        <v>110.93900000000001</v>
      </c>
      <c r="C38" s="109">
        <v>110.389</v>
      </c>
      <c r="D38" s="110">
        <v>109.889</v>
      </c>
      <c r="E38" s="55"/>
      <c r="G38" s="75" t="s">
        <v>104</v>
      </c>
      <c r="H38" s="76" t="s">
        <v>105</v>
      </c>
      <c r="I38" s="1"/>
      <c r="J38" s="1"/>
      <c r="K38" s="1"/>
    </row>
    <row r="40" spans="1:14">
      <c r="A40" s="3" t="s">
        <v>425</v>
      </c>
      <c r="B40" s="3"/>
      <c r="C40" s="1"/>
      <c r="D40" s="1"/>
      <c r="E40" s="1"/>
      <c r="F40" s="20"/>
      <c r="G40" s="1"/>
      <c r="H40" s="21"/>
      <c r="I40" s="20"/>
    </row>
    <row r="41" spans="1:14">
      <c r="A41" s="1815" t="s">
        <v>156</v>
      </c>
      <c r="B41" s="77"/>
      <c r="C41" s="77" t="s">
        <v>15</v>
      </c>
      <c r="D41" s="77" t="s">
        <v>16</v>
      </c>
      <c r="E41" s="77" t="s">
        <v>17</v>
      </c>
      <c r="F41" s="77" t="s">
        <v>18</v>
      </c>
      <c r="G41" s="77" t="s">
        <v>19</v>
      </c>
      <c r="H41" s="77" t="s">
        <v>20</v>
      </c>
      <c r="I41" s="78"/>
    </row>
    <row r="42" spans="1:14">
      <c r="A42" s="1816"/>
      <c r="B42" s="79" t="s">
        <v>111</v>
      </c>
      <c r="C42" s="99">
        <v>1.25</v>
      </c>
      <c r="D42" s="99">
        <v>1</v>
      </c>
      <c r="E42" s="99">
        <v>0.75</v>
      </c>
      <c r="F42" s="99">
        <v>0.375</v>
      </c>
      <c r="G42" s="99">
        <v>0.12500000000000003</v>
      </c>
      <c r="H42" s="99">
        <v>-0.24999999999999997</v>
      </c>
      <c r="I42" s="80"/>
    </row>
    <row r="43" spans="1:14">
      <c r="A43" s="1816"/>
      <c r="B43" s="79" t="s">
        <v>24</v>
      </c>
      <c r="C43" s="99">
        <v>1.125</v>
      </c>
      <c r="D43" s="99">
        <v>0.875</v>
      </c>
      <c r="E43" s="99">
        <v>0.49999999999999989</v>
      </c>
      <c r="F43" s="99">
        <v>0.24999999999999989</v>
      </c>
      <c r="G43" s="99">
        <v>-0.12500000000000011</v>
      </c>
      <c r="H43" s="99">
        <v>-0.625</v>
      </c>
      <c r="I43" s="80"/>
    </row>
    <row r="44" spans="1:14">
      <c r="A44" s="1816"/>
      <c r="B44" s="79" t="s">
        <v>25</v>
      </c>
      <c r="C44" s="99">
        <v>0.625</v>
      </c>
      <c r="D44" s="99">
        <v>0.375</v>
      </c>
      <c r="E44" s="99">
        <v>0.24999999999999986</v>
      </c>
      <c r="F44" s="99">
        <v>0</v>
      </c>
      <c r="G44" s="99">
        <v>-0.375</v>
      </c>
      <c r="H44" s="99">
        <v>-1</v>
      </c>
      <c r="I44" s="80"/>
    </row>
    <row r="45" spans="1:14">
      <c r="A45" s="1816"/>
      <c r="B45" s="79" t="s">
        <v>26</v>
      </c>
      <c r="C45" s="99">
        <v>0</v>
      </c>
      <c r="D45" s="99">
        <v>-0.24999999999999997</v>
      </c>
      <c r="E45" s="99">
        <v>-0.37500000000000011</v>
      </c>
      <c r="F45" s="99">
        <v>-0.62500000000000011</v>
      </c>
      <c r="G45" s="99">
        <v>-1</v>
      </c>
      <c r="H45" s="99">
        <v>-1.625</v>
      </c>
      <c r="I45" s="80"/>
    </row>
    <row r="46" spans="1:14">
      <c r="A46" s="1816"/>
      <c r="B46" s="79" t="s">
        <v>27</v>
      </c>
      <c r="C46" s="99" t="s">
        <v>14</v>
      </c>
      <c r="D46" s="99" t="s">
        <v>14</v>
      </c>
      <c r="E46" s="99" t="s">
        <v>14</v>
      </c>
      <c r="F46" s="99" t="s">
        <v>14</v>
      </c>
      <c r="G46" s="99" t="s">
        <v>14</v>
      </c>
      <c r="H46" s="99" t="s">
        <v>14</v>
      </c>
      <c r="I46" s="80"/>
    </row>
    <row r="47" spans="1:14">
      <c r="A47" s="1817"/>
      <c r="B47" s="81" t="s">
        <v>28</v>
      </c>
      <c r="C47" s="101" t="s">
        <v>14</v>
      </c>
      <c r="D47" s="101" t="s">
        <v>14</v>
      </c>
      <c r="E47" s="101" t="s">
        <v>14</v>
      </c>
      <c r="F47" s="101" t="s">
        <v>14</v>
      </c>
      <c r="G47" s="101" t="s">
        <v>14</v>
      </c>
      <c r="H47" s="101" t="s">
        <v>14</v>
      </c>
      <c r="I47" s="80"/>
    </row>
    <row r="48" spans="1:14">
      <c r="I48" s="82"/>
    </row>
    <row r="49" spans="1:9">
      <c r="A49" s="3" t="s">
        <v>116</v>
      </c>
      <c r="I49" s="82"/>
    </row>
    <row r="50" spans="1:9">
      <c r="A50" s="61"/>
      <c r="B50" s="93" t="s">
        <v>298</v>
      </c>
      <c r="C50" s="62" t="s">
        <v>117</v>
      </c>
      <c r="D50" s="62" t="s">
        <v>118</v>
      </c>
      <c r="E50" s="62" t="s">
        <v>119</v>
      </c>
      <c r="F50" s="62" t="s">
        <v>120</v>
      </c>
      <c r="G50" s="62" t="s">
        <v>121</v>
      </c>
      <c r="H50" s="62" t="s">
        <v>122</v>
      </c>
      <c r="I50" s="83"/>
    </row>
    <row r="51" spans="1:9">
      <c r="A51" s="84" t="s">
        <v>71</v>
      </c>
      <c r="B51" s="96" t="s">
        <v>72</v>
      </c>
      <c r="C51" s="97">
        <v>-0.25</v>
      </c>
      <c r="D51" s="97">
        <v>-0.25</v>
      </c>
      <c r="E51" s="97">
        <v>-0.25</v>
      </c>
      <c r="F51" s="97">
        <v>-0.375</v>
      </c>
      <c r="G51" s="97">
        <v>-0.5</v>
      </c>
      <c r="H51" s="97">
        <v>-0.5</v>
      </c>
      <c r="I51" s="83"/>
    </row>
    <row r="52" spans="1:9" ht="25.5">
      <c r="A52" s="84" t="s">
        <v>157</v>
      </c>
      <c r="B52" s="96" t="s">
        <v>78</v>
      </c>
      <c r="C52" s="97" t="s">
        <v>14</v>
      </c>
      <c r="D52" s="97" t="s">
        <v>14</v>
      </c>
      <c r="E52" s="97" t="s">
        <v>14</v>
      </c>
      <c r="F52" s="97" t="s">
        <v>14</v>
      </c>
      <c r="G52" s="97" t="s">
        <v>14</v>
      </c>
      <c r="H52" s="97" t="s">
        <v>14</v>
      </c>
      <c r="I52" s="85"/>
    </row>
    <row r="53" spans="1:9">
      <c r="A53" s="1787" t="s">
        <v>47</v>
      </c>
      <c r="B53" s="98" t="s">
        <v>427</v>
      </c>
      <c r="C53" s="99">
        <v>-0.25</v>
      </c>
      <c r="D53" s="99">
        <v>-0.25</v>
      </c>
      <c r="E53" s="99">
        <v>-0.25</v>
      </c>
      <c r="F53" s="99">
        <v>-0.25</v>
      </c>
      <c r="G53" s="99">
        <v>-0.25</v>
      </c>
      <c r="H53" s="99">
        <v>-0.25</v>
      </c>
      <c r="I53" s="80"/>
    </row>
    <row r="54" spans="1:9">
      <c r="A54" s="1788"/>
      <c r="B54" s="98" t="s">
        <v>127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80"/>
    </row>
    <row r="55" spans="1:9">
      <c r="A55" s="1788"/>
      <c r="B55" s="98" t="s">
        <v>128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80"/>
    </row>
    <row r="56" spans="1:9">
      <c r="A56" s="1788"/>
      <c r="B56" s="98" t="s">
        <v>129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 t="s">
        <v>14</v>
      </c>
      <c r="I56" s="80"/>
    </row>
    <row r="57" spans="1:9">
      <c r="A57" s="1788"/>
      <c r="B57" s="98" t="s">
        <v>130</v>
      </c>
      <c r="C57" s="99">
        <v>-0.25</v>
      </c>
      <c r="D57" s="99">
        <v>-0.25</v>
      </c>
      <c r="E57" s="99">
        <v>-0.25</v>
      </c>
      <c r="F57" s="99">
        <v>-0.25</v>
      </c>
      <c r="G57" s="99" t="s">
        <v>14</v>
      </c>
      <c r="H57" s="99" t="s">
        <v>14</v>
      </c>
      <c r="I57" s="80"/>
    </row>
    <row r="58" spans="1:9">
      <c r="A58" s="1788"/>
      <c r="B58" s="98" t="s">
        <v>131</v>
      </c>
      <c r="C58" s="99">
        <v>-0.375</v>
      </c>
      <c r="D58" s="99">
        <v>-0.375</v>
      </c>
      <c r="E58" s="99">
        <v>-0.375</v>
      </c>
      <c r="F58" s="99" t="s">
        <v>14</v>
      </c>
      <c r="G58" s="99" t="s">
        <v>14</v>
      </c>
      <c r="H58" s="99" t="s">
        <v>14</v>
      </c>
      <c r="I58" s="80"/>
    </row>
    <row r="59" spans="1:9">
      <c r="A59" s="1789"/>
      <c r="B59" s="100" t="s">
        <v>132</v>
      </c>
      <c r="C59" s="632">
        <v>-1</v>
      </c>
      <c r="D59" s="101">
        <v>-1</v>
      </c>
      <c r="E59" s="101">
        <v>-1</v>
      </c>
      <c r="F59" s="101">
        <v>-1.5</v>
      </c>
      <c r="G59" s="101" t="s">
        <v>14</v>
      </c>
      <c r="H59" s="101" t="s">
        <v>14</v>
      </c>
      <c r="I59" s="80"/>
    </row>
    <row r="60" spans="1:9">
      <c r="A60" s="934" t="s">
        <v>56</v>
      </c>
      <c r="B60" s="102" t="s">
        <v>558</v>
      </c>
      <c r="C60" s="99">
        <v>-0.375</v>
      </c>
      <c r="D60" s="99">
        <v>-0.375</v>
      </c>
      <c r="E60" s="99">
        <v>-0.375</v>
      </c>
      <c r="F60" s="99">
        <v>-0.5</v>
      </c>
      <c r="G60" s="99" t="s">
        <v>14</v>
      </c>
      <c r="H60" s="99" t="s">
        <v>14</v>
      </c>
      <c r="I60" s="80"/>
    </row>
    <row r="61" spans="1:9">
      <c r="A61" s="86" t="s">
        <v>62</v>
      </c>
      <c r="B61" s="102" t="s">
        <v>158</v>
      </c>
      <c r="C61" s="103">
        <v>-0.5</v>
      </c>
      <c r="D61" s="103">
        <v>-0.5</v>
      </c>
      <c r="E61" s="103">
        <v>-0.5</v>
      </c>
      <c r="F61" s="103">
        <v>-0.5</v>
      </c>
      <c r="G61" s="103">
        <v>-0.5</v>
      </c>
      <c r="H61" s="103">
        <v>-0.5</v>
      </c>
      <c r="I61" s="80"/>
    </row>
    <row r="62" spans="1:9">
      <c r="A62" s="86" t="s">
        <v>65</v>
      </c>
      <c r="B62" s="102" t="s">
        <v>159</v>
      </c>
      <c r="C62" s="103">
        <v>-0.5</v>
      </c>
      <c r="D62" s="103">
        <v>-0.5</v>
      </c>
      <c r="E62" s="103">
        <v>-0.5</v>
      </c>
      <c r="F62" s="103">
        <v>-0.5</v>
      </c>
      <c r="G62" s="103">
        <v>-0.625</v>
      </c>
      <c r="H62" s="103">
        <v>-0.75</v>
      </c>
      <c r="I62" s="80"/>
    </row>
    <row r="63" spans="1:9">
      <c r="A63" s="87"/>
      <c r="B63" s="102" t="s">
        <v>95</v>
      </c>
      <c r="C63" s="103">
        <v>0.75</v>
      </c>
      <c r="D63" s="103">
        <v>0.75</v>
      </c>
      <c r="E63" s="103">
        <v>0.75</v>
      </c>
      <c r="F63" s="103">
        <v>0.75</v>
      </c>
      <c r="G63" s="103">
        <v>1</v>
      </c>
      <c r="H63" s="103">
        <v>1.25</v>
      </c>
      <c r="I63" s="80"/>
    </row>
    <row r="64" spans="1:9">
      <c r="A64" s="88" t="s">
        <v>137</v>
      </c>
      <c r="B64" s="98" t="s">
        <v>96</v>
      </c>
      <c r="C64" s="99">
        <v>0.625</v>
      </c>
      <c r="D64" s="99">
        <v>0.625</v>
      </c>
      <c r="E64" s="99">
        <v>0.625</v>
      </c>
      <c r="F64" s="99">
        <v>0.625</v>
      </c>
      <c r="G64" s="99">
        <v>0.75</v>
      </c>
      <c r="H64" s="99">
        <v>1</v>
      </c>
      <c r="I64" s="80"/>
    </row>
    <row r="65" spans="1:9">
      <c r="A65" s="89" t="s">
        <v>138</v>
      </c>
      <c r="B65" s="98" t="s">
        <v>7</v>
      </c>
      <c r="C65" s="99">
        <v>0.125</v>
      </c>
      <c r="D65" s="99">
        <v>0.125</v>
      </c>
      <c r="E65" s="99">
        <v>0.125</v>
      </c>
      <c r="F65" s="99">
        <v>0.125</v>
      </c>
      <c r="G65" s="99">
        <v>0.125</v>
      </c>
      <c r="H65" s="99">
        <v>0.125</v>
      </c>
      <c r="I65" s="80"/>
    </row>
    <row r="66" spans="1:9" ht="15.75">
      <c r="A66" s="89" t="s">
        <v>160</v>
      </c>
      <c r="B66" s="98" t="s">
        <v>9</v>
      </c>
      <c r="C66" s="99">
        <v>-0.5</v>
      </c>
      <c r="D66" s="99">
        <v>-0.5</v>
      </c>
      <c r="E66" s="99">
        <v>-0.5</v>
      </c>
      <c r="F66" s="99">
        <v>-0.5</v>
      </c>
      <c r="G66" s="99">
        <v>-0.5</v>
      </c>
      <c r="H66" s="99">
        <v>-0.5</v>
      </c>
      <c r="I66" s="80"/>
    </row>
    <row r="67" spans="1:9">
      <c r="A67" s="89"/>
      <c r="B67" s="98" t="s">
        <v>11</v>
      </c>
      <c r="C67" s="99">
        <v>-1.6250000000000002</v>
      </c>
      <c r="D67" s="99">
        <v>-1.6250000000000002</v>
      </c>
      <c r="E67" s="99">
        <v>-1.6250000000000002</v>
      </c>
      <c r="F67" s="99">
        <v>-1.6250000000000002</v>
      </c>
      <c r="G67" s="99">
        <v>-1.6250000000000002</v>
      </c>
      <c r="H67" s="99">
        <v>-1.6250000000000002</v>
      </c>
      <c r="I67" s="80"/>
    </row>
    <row r="68" spans="1:9">
      <c r="A68" s="90"/>
      <c r="B68" s="100" t="s">
        <v>97</v>
      </c>
      <c r="C68" s="101">
        <v>-2.25</v>
      </c>
      <c r="D68" s="101">
        <v>-2.25</v>
      </c>
      <c r="E68" s="101">
        <v>-2.25</v>
      </c>
      <c r="F68" s="101">
        <v>-2.25</v>
      </c>
      <c r="G68" s="101">
        <v>-2.25</v>
      </c>
      <c r="H68" s="101">
        <v>-2.25</v>
      </c>
      <c r="I68" s="80"/>
    </row>
    <row r="69" spans="1:9">
      <c r="A69" s="1788" t="s">
        <v>68</v>
      </c>
      <c r="B69" s="98" t="s">
        <v>69</v>
      </c>
      <c r="C69" s="99">
        <v>-0.25</v>
      </c>
      <c r="D69" s="99">
        <v>-0.25</v>
      </c>
      <c r="E69" s="99">
        <v>-0.25</v>
      </c>
      <c r="F69" s="99">
        <v>-0.25</v>
      </c>
      <c r="G69" s="99">
        <v>-0.25</v>
      </c>
      <c r="H69" s="99">
        <v>-0.25</v>
      </c>
      <c r="I69" s="80"/>
    </row>
    <row r="70" spans="1:9" ht="15.75" thickBot="1">
      <c r="A70" s="1788"/>
      <c r="B70" s="98" t="s">
        <v>161</v>
      </c>
      <c r="C70" s="99">
        <v>-0.25</v>
      </c>
      <c r="D70" s="99">
        <v>-0.25</v>
      </c>
      <c r="E70" s="99">
        <v>-0.25</v>
      </c>
      <c r="F70" s="99">
        <v>-0.25</v>
      </c>
      <c r="G70" s="99">
        <v>-0.25</v>
      </c>
      <c r="H70" s="99">
        <v>-0.25</v>
      </c>
      <c r="I70" s="80"/>
    </row>
    <row r="71" spans="1:9">
      <c r="A71" s="1479"/>
      <c r="B71" s="1480"/>
      <c r="C71" s="1481"/>
      <c r="D71" s="1481"/>
      <c r="E71" s="1481"/>
      <c r="F71" s="1481"/>
      <c r="G71" s="1481"/>
      <c r="H71" s="1481"/>
    </row>
  </sheetData>
  <mergeCells count="15">
    <mergeCell ref="A69:A70"/>
    <mergeCell ref="A41:A47"/>
    <mergeCell ref="A53:A59"/>
    <mergeCell ref="M33:N33"/>
    <mergeCell ref="M34:N34"/>
    <mergeCell ref="M35:N35"/>
    <mergeCell ref="M36:N36"/>
    <mergeCell ref="M37:N37"/>
    <mergeCell ref="C2:I2"/>
    <mergeCell ref="A7:D7"/>
    <mergeCell ref="G7:H7"/>
    <mergeCell ref="L31:N31"/>
    <mergeCell ref="M32:N32"/>
    <mergeCell ref="G27:I28"/>
    <mergeCell ref="G29:I30"/>
  </mergeCells>
  <conditionalFormatting sqref="D3:D4">
    <cfRule type="cellIs" dxfId="116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margins!$U$137:$U$138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margins!$U$155:$U$156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margins!$U$140:$U$141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margins!$U$143:$U$144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margins!$U$134:$U$135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margins!$U$146:$U$153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37" customWidth="1"/>
    <col min="2" max="2" width="18.140625" style="936" customWidth="1"/>
    <col min="3" max="4" width="13.7109375" style="936" customWidth="1"/>
    <col min="5" max="5" width="13.85546875" style="936" customWidth="1"/>
    <col min="6" max="6" width="13.7109375" style="936" customWidth="1"/>
    <col min="7" max="7" width="16.42578125" style="936" bestFit="1" customWidth="1"/>
    <col min="8" max="8" width="19.42578125" style="936" customWidth="1"/>
    <col min="9" max="9" width="13.7109375" style="936" customWidth="1"/>
    <col min="10" max="10" width="16.5703125" style="936" customWidth="1"/>
    <col min="11" max="11" width="16.42578125" style="936" customWidth="1"/>
    <col min="12" max="12" width="13.7109375" style="936" customWidth="1"/>
    <col min="13" max="13" width="5" style="936" customWidth="1"/>
    <col min="14" max="14" width="9.140625" style="935"/>
    <col min="15" max="15" width="19.85546875" style="935" customWidth="1"/>
    <col min="16" max="16" width="18.7109375" style="935" customWidth="1"/>
    <col min="17" max="17" width="16.5703125" style="935" customWidth="1"/>
    <col min="18" max="16384" width="9.140625" style="935"/>
  </cols>
  <sheetData>
    <row r="1" spans="1:17" s="936" customForma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1308"/>
    </row>
    <row r="2" spans="1:17" s="936" customFormat="1">
      <c r="A2" s="1082"/>
      <c r="B2" s="941"/>
      <c r="C2" s="941"/>
      <c r="D2" s="941"/>
      <c r="E2" s="941"/>
      <c r="F2" s="941"/>
      <c r="G2" s="941"/>
      <c r="H2" s="941"/>
      <c r="I2" s="941"/>
      <c r="J2" s="937" t="s">
        <v>329</v>
      </c>
      <c r="K2" s="1747">
        <f ca="1">NOW()</f>
        <v>46223.360261689813</v>
      </c>
      <c r="L2" s="1747"/>
      <c r="M2" s="1317"/>
    </row>
    <row r="3" spans="1:17" s="936" customFormat="1">
      <c r="A3" s="1082"/>
      <c r="B3" s="941"/>
      <c r="C3" s="941"/>
      <c r="D3" s="941"/>
      <c r="E3" s="941"/>
      <c r="F3" s="941"/>
      <c r="G3" s="941"/>
      <c r="H3" s="941"/>
      <c r="I3" s="941"/>
      <c r="J3" s="941"/>
      <c r="K3" s="1746" t="s">
        <v>601</v>
      </c>
      <c r="L3" s="1746"/>
      <c r="M3" s="1146"/>
    </row>
    <row r="4" spans="1:17" s="936" customFormat="1">
      <c r="A4" s="1082"/>
      <c r="B4" s="941"/>
      <c r="C4" s="941"/>
      <c r="D4" s="941"/>
      <c r="E4" s="941"/>
      <c r="F4" s="941"/>
      <c r="G4" s="941"/>
      <c r="H4" s="941"/>
      <c r="I4" s="941"/>
      <c r="J4" s="941"/>
      <c r="K4" s="1301"/>
      <c r="L4" s="1301"/>
      <c r="M4" s="1309"/>
    </row>
    <row r="5" spans="1:17" s="936" customFormat="1">
      <c r="A5" s="1082"/>
      <c r="B5" s="941"/>
      <c r="C5" s="941"/>
      <c r="D5" s="941"/>
      <c r="E5" s="941"/>
      <c r="F5" s="941"/>
      <c r="G5" s="941"/>
      <c r="H5" s="941"/>
      <c r="I5" s="941"/>
      <c r="J5" s="941"/>
      <c r="K5" s="1325"/>
      <c r="L5" s="1301" t="s">
        <v>171</v>
      </c>
      <c r="M5" s="940"/>
    </row>
    <row r="6" spans="1:17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1309"/>
    </row>
    <row r="7" spans="1:17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1309"/>
    </row>
    <row r="8" spans="1:17" s="936" customFormat="1">
      <c r="A8" s="942"/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1146"/>
    </row>
    <row r="9" spans="1:17" s="936" customFormat="1" ht="15.75" thickBot="1">
      <c r="A9" s="1082"/>
      <c r="B9" s="1128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310"/>
    </row>
    <row r="10" spans="1:17" s="936" customFormat="1" ht="14.25" customHeight="1">
      <c r="A10" s="1748" t="s">
        <v>619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50"/>
      <c r="O10" s="1715" t="s">
        <v>317</v>
      </c>
      <c r="P10" s="1716"/>
      <c r="Q10" s="1716"/>
    </row>
    <row r="11" spans="1:17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3"/>
      <c r="O11" s="418"/>
      <c r="P11" s="418"/>
      <c r="Q11" s="418"/>
    </row>
    <row r="12" spans="1:17" s="936" customFormat="1" ht="15.75" thickBot="1">
      <c r="A12" s="1144"/>
      <c r="B12" s="1142"/>
      <c r="C12" s="1736" t="s">
        <v>438</v>
      </c>
      <c r="D12" s="1737"/>
      <c r="E12" s="1738"/>
      <c r="F12" s="1143"/>
      <c r="G12" s="1142"/>
      <c r="H12" s="1142"/>
      <c r="I12" s="1142"/>
      <c r="J12" s="1142"/>
      <c r="K12" s="1142"/>
      <c r="L12" s="1142"/>
      <c r="M12" s="1165"/>
      <c r="O12" s="1112" t="s">
        <v>195</v>
      </c>
      <c r="P12" s="1112" t="s">
        <v>196</v>
      </c>
      <c r="Q12" s="1112" t="s">
        <v>197</v>
      </c>
    </row>
    <row r="13" spans="1:17" s="936" customFormat="1" ht="15.75" thickBot="1">
      <c r="A13" s="1129"/>
      <c r="B13" s="1275" t="s">
        <v>211</v>
      </c>
      <c r="C13" s="1300" t="s">
        <v>13</v>
      </c>
      <c r="D13" s="1275" t="s">
        <v>87</v>
      </c>
      <c r="E13" s="1320" t="s">
        <v>600</v>
      </c>
      <c r="G13" s="1081" t="s">
        <v>599</v>
      </c>
      <c r="H13" s="1080"/>
      <c r="I13" s="941"/>
      <c r="J13" s="1081" t="s">
        <v>598</v>
      </c>
      <c r="K13" s="1"/>
      <c r="L13" s="1"/>
      <c r="M13" s="940"/>
      <c r="O13" s="418"/>
      <c r="P13" s="418"/>
      <c r="Q13" s="418"/>
    </row>
    <row r="14" spans="1:17" s="936" customFormat="1">
      <c r="A14" s="1129"/>
      <c r="B14" s="1318">
        <f>margins!Y5</f>
        <v>7.625</v>
      </c>
      <c r="C14" s="1321">
        <v>95.195999999999998</v>
      </c>
      <c r="D14" s="1319">
        <v>94.646000000000001</v>
      </c>
      <c r="E14" s="1323">
        <v>94.146000000000001</v>
      </c>
      <c r="G14" s="1112" t="s">
        <v>94</v>
      </c>
      <c r="H14" s="1306" t="s">
        <v>6</v>
      </c>
      <c r="I14" s="941"/>
      <c r="J14" s="1359" t="s">
        <v>610</v>
      </c>
      <c r="K14" s="1135">
        <v>0</v>
      </c>
      <c r="M14" s="940"/>
      <c r="O14" s="579" t="s">
        <v>198</v>
      </c>
      <c r="P14" s="580" t="s">
        <v>91</v>
      </c>
      <c r="Q14" s="435"/>
    </row>
    <row r="15" spans="1:17" s="936" customFormat="1" ht="15.75" thickBot="1">
      <c r="A15" s="1129"/>
      <c r="B15" s="1163">
        <f>margins!Y6</f>
        <v>7.75</v>
      </c>
      <c r="C15" s="1321">
        <v>95.858000000000004</v>
      </c>
      <c r="D15" s="1319">
        <v>95.308000000000007</v>
      </c>
      <c r="E15" s="1323">
        <v>94.808000000000007</v>
      </c>
      <c r="G15" s="1298" t="s">
        <v>95</v>
      </c>
      <c r="H15" s="1134">
        <v>101</v>
      </c>
      <c r="I15" s="941"/>
      <c r="J15" s="1360" t="s">
        <v>597</v>
      </c>
      <c r="K15" s="1137">
        <v>-0.375</v>
      </c>
      <c r="M15" s="940"/>
      <c r="O15" s="581" t="s">
        <v>199</v>
      </c>
      <c r="P15" s="582">
        <v>9</v>
      </c>
      <c r="Q15" s="436">
        <f>IF(P14="7/6 Arm",VLOOKUP(P15,$B$14:$E$42,2,FALSE),IF(P14="10/6 Arm",VLOOKUP(P15,$B$14:$E$42,3,FALSE),VLOOKUP(P15,$B$14:$E$42,4,FALSE)))</f>
        <v>101.27800000000001</v>
      </c>
    </row>
    <row r="16" spans="1:17" s="936" customFormat="1">
      <c r="A16" s="1129"/>
      <c r="B16" s="1163">
        <f>margins!Y7</f>
        <v>7.875</v>
      </c>
      <c r="C16" s="1321">
        <v>96.52</v>
      </c>
      <c r="D16" s="1319">
        <v>95.97</v>
      </c>
      <c r="E16" s="1323">
        <v>95.47</v>
      </c>
      <c r="G16" s="1298" t="s">
        <v>96</v>
      </c>
      <c r="H16" s="1134">
        <v>101</v>
      </c>
      <c r="I16" s="941"/>
      <c r="M16" s="940"/>
      <c r="O16" s="581" t="s">
        <v>353</v>
      </c>
      <c r="P16" s="582" t="s">
        <v>19</v>
      </c>
      <c r="Q16" s="436"/>
    </row>
    <row r="17" spans="1:17" s="936" customFormat="1" ht="15.75" thickBot="1">
      <c r="A17" s="1129"/>
      <c r="B17" s="1163">
        <f>margins!Y8</f>
        <v>8</v>
      </c>
      <c r="C17" s="1321">
        <v>97.182000000000002</v>
      </c>
      <c r="D17" s="1319">
        <v>96.632000000000005</v>
      </c>
      <c r="E17" s="1323">
        <v>96.132000000000005</v>
      </c>
      <c r="G17" s="1298" t="s">
        <v>7</v>
      </c>
      <c r="H17" s="1134">
        <v>101</v>
      </c>
      <c r="I17" s="941"/>
      <c r="J17" s="1081" t="s">
        <v>594</v>
      </c>
      <c r="K17" s="1080"/>
      <c r="L17" s="1080"/>
      <c r="M17" s="949"/>
      <c r="O17" s="581" t="s">
        <v>200</v>
      </c>
      <c r="P17" s="582" t="s">
        <v>26</v>
      </c>
      <c r="Q17" s="436">
        <f>IFERROR(INDEX($C$42:$H$47,MATCH(P17,E45:E50,0),MATCH(P16,F44:K44,0),1),0)</f>
        <v>0</v>
      </c>
    </row>
    <row r="18" spans="1:17" s="936" customFormat="1" ht="15" customHeight="1">
      <c r="A18" s="1129"/>
      <c r="B18" s="1163">
        <f>margins!Y9</f>
        <v>8.125</v>
      </c>
      <c r="C18" s="1321">
        <v>97.844000000000008</v>
      </c>
      <c r="D18" s="1319">
        <v>97.293999999999997</v>
      </c>
      <c r="E18" s="1323">
        <v>96.793999999999997</v>
      </c>
      <c r="G18" s="1298" t="s">
        <v>9</v>
      </c>
      <c r="H18" s="1134">
        <v>101</v>
      </c>
      <c r="I18" s="941"/>
      <c r="J18" s="1825" t="s">
        <v>141</v>
      </c>
      <c r="K18" s="1826"/>
      <c r="L18" s="1827"/>
      <c r="M18" s="940"/>
      <c r="O18" s="581" t="s">
        <v>71</v>
      </c>
      <c r="P18" s="582" t="s">
        <v>191</v>
      </c>
      <c r="Q18" s="436">
        <f t="shared" ref="Q18:Q26" si="0">IFERROR(INDEX($C$51:$H$70,MATCH(P18,$B$51:$B$70,0),MATCH($M$13,$C$41:$H$41,0),1),0)</f>
        <v>0</v>
      </c>
    </row>
    <row r="19" spans="1:17" s="936" customFormat="1">
      <c r="A19" s="1129"/>
      <c r="B19" s="1163">
        <f>margins!Y10</f>
        <v>8.25</v>
      </c>
      <c r="C19" s="1321">
        <v>98.506</v>
      </c>
      <c r="D19" s="1319">
        <v>97.956000000000003</v>
      </c>
      <c r="E19" s="1323">
        <v>97.456000000000003</v>
      </c>
      <c r="G19" s="1298" t="s">
        <v>11</v>
      </c>
      <c r="H19" s="1134">
        <v>99.275000000000006</v>
      </c>
      <c r="I19" s="941"/>
      <c r="J19" s="1828"/>
      <c r="K19" s="1829"/>
      <c r="L19" s="1830"/>
      <c r="M19" s="940"/>
      <c r="O19" s="581" t="s">
        <v>201</v>
      </c>
      <c r="P19" s="582" t="s">
        <v>191</v>
      </c>
      <c r="Q19" s="436">
        <f t="shared" si="0"/>
        <v>0</v>
      </c>
    </row>
    <row r="20" spans="1:17" s="936" customFormat="1" ht="15.75" thickBot="1">
      <c r="A20" s="1129"/>
      <c r="B20" s="1163">
        <f>margins!Y11</f>
        <v>8.375</v>
      </c>
      <c r="C20" s="1321">
        <v>99.168000000000006</v>
      </c>
      <c r="D20" s="1319">
        <v>98.618000000000009</v>
      </c>
      <c r="E20" s="1323">
        <v>98.118000000000009</v>
      </c>
      <c r="F20" s="941"/>
      <c r="G20" s="1299" t="s">
        <v>97</v>
      </c>
      <c r="H20" s="1133">
        <v>98.275000000000006</v>
      </c>
      <c r="I20" s="941"/>
      <c r="J20" s="1828" t="s">
        <v>687</v>
      </c>
      <c r="K20" s="1829"/>
      <c r="L20" s="1830"/>
      <c r="M20" s="940"/>
      <c r="O20" s="581" t="s">
        <v>47</v>
      </c>
      <c r="P20" s="582" t="s">
        <v>191</v>
      </c>
      <c r="Q20" s="436">
        <f t="shared" si="0"/>
        <v>0</v>
      </c>
    </row>
    <row r="21" spans="1:17" s="936" customFormat="1">
      <c r="A21" s="1129"/>
      <c r="B21" s="1163">
        <f>margins!Y12</f>
        <v>8.5</v>
      </c>
      <c r="C21" s="1321">
        <v>99.83</v>
      </c>
      <c r="D21" s="1319">
        <v>99.28</v>
      </c>
      <c r="E21" s="1323">
        <v>98.78</v>
      </c>
      <c r="F21" s="941"/>
      <c r="G21" s="1130"/>
      <c r="H21" s="1084"/>
      <c r="I21" s="941"/>
      <c r="J21" s="1828"/>
      <c r="K21" s="1829"/>
      <c r="L21" s="1830"/>
      <c r="M21" s="940"/>
      <c r="O21" s="581" t="s">
        <v>56</v>
      </c>
      <c r="P21" s="582" t="s">
        <v>191</v>
      </c>
      <c r="Q21" s="436">
        <f t="shared" si="0"/>
        <v>0</v>
      </c>
    </row>
    <row r="22" spans="1:17" s="936" customFormat="1">
      <c r="A22" s="1129"/>
      <c r="B22" s="1163">
        <f>margins!Y13</f>
        <v>8.625</v>
      </c>
      <c r="C22" s="1321">
        <v>100.492</v>
      </c>
      <c r="D22" s="1319">
        <v>99.942000000000007</v>
      </c>
      <c r="E22" s="1323">
        <v>99.442000000000007</v>
      </c>
      <c r="F22" s="1128"/>
      <c r="G22" s="1080"/>
      <c r="I22" s="1081"/>
      <c r="J22" s="1828" t="s">
        <v>688</v>
      </c>
      <c r="K22" s="1829"/>
      <c r="L22" s="1830"/>
      <c r="M22" s="940"/>
      <c r="O22" s="581" t="s">
        <v>62</v>
      </c>
      <c r="P22" s="582" t="s">
        <v>191</v>
      </c>
      <c r="Q22" s="436">
        <f t="shared" si="0"/>
        <v>0</v>
      </c>
    </row>
    <row r="23" spans="1:17" s="936" customFormat="1" ht="15.75" thickBot="1">
      <c r="A23" s="1082"/>
      <c r="B23" s="1163">
        <f>margins!Y14</f>
        <v>8.75</v>
      </c>
      <c r="C23" s="1321">
        <v>101.154</v>
      </c>
      <c r="D23" s="1319">
        <v>100.604</v>
      </c>
      <c r="E23" s="1323">
        <v>100.104</v>
      </c>
      <c r="F23" s="1128"/>
      <c r="G23" s="1081" t="s">
        <v>595</v>
      </c>
      <c r="H23" s="941"/>
      <c r="I23"/>
      <c r="J23" s="1828"/>
      <c r="K23" s="1829"/>
      <c r="L23" s="1830"/>
      <c r="M23" s="1311"/>
      <c r="O23" s="581" t="s">
        <v>136</v>
      </c>
      <c r="P23" s="582" t="s">
        <v>191</v>
      </c>
      <c r="Q23" s="436">
        <f t="shared" si="0"/>
        <v>0</v>
      </c>
    </row>
    <row r="24" spans="1:17" s="936" customFormat="1" ht="14.25" customHeight="1">
      <c r="A24" s="1082"/>
      <c r="B24" s="1163">
        <f>margins!Y15</f>
        <v>8.875</v>
      </c>
      <c r="C24" s="1321">
        <v>101.741</v>
      </c>
      <c r="D24" s="1319">
        <v>101.191</v>
      </c>
      <c r="E24" s="1323">
        <v>100.691</v>
      </c>
      <c r="F24" s="1128"/>
      <c r="G24" s="1127" t="s">
        <v>239</v>
      </c>
      <c r="H24" s="1307" t="s">
        <v>593</v>
      </c>
      <c r="I24"/>
      <c r="J24" s="1828" t="s">
        <v>215</v>
      </c>
      <c r="K24" s="1829"/>
      <c r="L24" s="1830"/>
      <c r="M24" s="1316"/>
      <c r="O24" s="581" t="s">
        <v>203</v>
      </c>
      <c r="P24" s="582" t="s">
        <v>95</v>
      </c>
      <c r="Q24" s="436">
        <f t="shared" si="0"/>
        <v>0</v>
      </c>
    </row>
    <row r="25" spans="1:17" s="936" customFormat="1" ht="15.75" thickBot="1">
      <c r="A25" s="1082"/>
      <c r="B25" s="1163">
        <f>margins!Y16</f>
        <v>9</v>
      </c>
      <c r="C25" s="1321">
        <v>102.328</v>
      </c>
      <c r="D25" s="1319">
        <v>101.77800000000001</v>
      </c>
      <c r="E25" s="1323">
        <v>101.27800000000001</v>
      </c>
      <c r="G25" s="1126" t="s">
        <v>210</v>
      </c>
      <c r="H25" s="1303">
        <v>6.5</v>
      </c>
      <c r="I25"/>
      <c r="J25" s="1831"/>
      <c r="K25" s="1832"/>
      <c r="L25" s="1833"/>
      <c r="M25" s="1316"/>
      <c r="O25" s="581" t="s">
        <v>69</v>
      </c>
      <c r="P25" s="582" t="s">
        <v>191</v>
      </c>
      <c r="Q25" s="436">
        <f t="shared" si="0"/>
        <v>0</v>
      </c>
    </row>
    <row r="26" spans="1:17" s="936" customFormat="1" ht="14.25" customHeight="1">
      <c r="A26" s="1082"/>
      <c r="B26" s="1163">
        <f>margins!Y17</f>
        <v>9.125</v>
      </c>
      <c r="C26" s="1321">
        <v>102.91500000000001</v>
      </c>
      <c r="D26" s="1319">
        <v>102.36500000000001</v>
      </c>
      <c r="E26" s="1323">
        <v>101.86500000000001</v>
      </c>
      <c r="G26" s="1126" t="s">
        <v>592</v>
      </c>
      <c r="H26" s="1303" t="s">
        <v>591</v>
      </c>
      <c r="I26"/>
      <c r="J26"/>
      <c r="K26"/>
      <c r="L26"/>
      <c r="M26" s="1316"/>
      <c r="O26" s="581" t="s">
        <v>161</v>
      </c>
      <c r="P26" s="582" t="s">
        <v>191</v>
      </c>
      <c r="Q26" s="436">
        <f t="shared" si="0"/>
        <v>0</v>
      </c>
    </row>
    <row r="27" spans="1:17" s="936" customFormat="1">
      <c r="A27" s="1082"/>
      <c r="B27" s="1163">
        <f>margins!Y18</f>
        <v>9.25</v>
      </c>
      <c r="C27" s="1321">
        <v>103.50200000000001</v>
      </c>
      <c r="D27" s="1319">
        <v>102.952</v>
      </c>
      <c r="E27" s="1323">
        <v>102.452</v>
      </c>
      <c r="G27" s="1126" t="s">
        <v>590</v>
      </c>
      <c r="H27" s="1304" t="s">
        <v>235</v>
      </c>
      <c r="I27"/>
      <c r="J27"/>
      <c r="K27"/>
      <c r="L27"/>
      <c r="M27" s="1316"/>
      <c r="O27" s="581" t="s">
        <v>205</v>
      </c>
      <c r="P27" s="582" t="s">
        <v>191</v>
      </c>
      <c r="Q27" s="436">
        <f>IF(P27=30,0,IF(P27=45, K15, 0))</f>
        <v>0</v>
      </c>
    </row>
    <row r="28" spans="1:17" s="936" customFormat="1" ht="14.25" customHeight="1" thickBot="1">
      <c r="A28" s="1082"/>
      <c r="B28" s="1163">
        <f>margins!Y19</f>
        <v>9.375</v>
      </c>
      <c r="C28" s="1321">
        <v>104.027</v>
      </c>
      <c r="D28" s="1319">
        <v>103.477</v>
      </c>
      <c r="E28" s="1323">
        <v>102.977</v>
      </c>
      <c r="G28" s="1123" t="s">
        <v>589</v>
      </c>
      <c r="H28" s="1305" t="s">
        <v>588</v>
      </c>
      <c r="I28"/>
      <c r="J28" s="1081" t="s">
        <v>142</v>
      </c>
      <c r="K28"/>
      <c r="L28"/>
      <c r="M28" s="1316"/>
      <c r="O28" s="583" t="s">
        <v>206</v>
      </c>
      <c r="P28" s="433"/>
      <c r="Q28" s="437">
        <f>Q17+Q19+Q20+Q21+Q22+Q23+Q24+Q25+Q26+Q27</f>
        <v>0</v>
      </c>
    </row>
    <row r="29" spans="1:17" s="936" customFormat="1" ht="15.75" thickBot="1">
      <c r="A29" s="1082"/>
      <c r="B29" s="1163">
        <f>margins!Y20</f>
        <v>9.5</v>
      </c>
      <c r="C29" s="1321">
        <v>104.55200000000001</v>
      </c>
      <c r="D29" s="1319">
        <v>104.00200000000001</v>
      </c>
      <c r="E29" s="1323">
        <v>103.50200000000001</v>
      </c>
      <c r="I29"/>
      <c r="J29" s="1356" t="s">
        <v>143</v>
      </c>
      <c r="K29" s="1834" t="s">
        <v>144</v>
      </c>
      <c r="L29" s="1835"/>
      <c r="M29" s="1316"/>
      <c r="O29" s="420"/>
      <c r="P29" s="421"/>
      <c r="Q29" s="430"/>
    </row>
    <row r="30" spans="1:17" s="936" customFormat="1" ht="15.75" thickBot="1">
      <c r="A30" s="1082"/>
      <c r="B30" s="1163">
        <f>margins!Y21</f>
        <v>9.625</v>
      </c>
      <c r="C30" s="1321">
        <v>105.077</v>
      </c>
      <c r="D30" s="1319">
        <v>104.527</v>
      </c>
      <c r="E30" s="1323">
        <v>104.027</v>
      </c>
      <c r="G30" s="1081"/>
      <c r="H30" s="1080"/>
      <c r="J30" s="1357" t="s">
        <v>145</v>
      </c>
      <c r="K30" s="1838" t="s">
        <v>640</v>
      </c>
      <c r="L30" s="1839"/>
      <c r="M30" s="1312"/>
      <c r="O30" s="422" t="s">
        <v>207</v>
      </c>
      <c r="P30" s="423"/>
      <c r="Q30" s="438">
        <f>IF(ISNUMBER(MATCH("NA", Q17:Q27, 0)), "NA", MIN(Q28+Q15,VLOOKUP($P$24,$G$15:$H$20,2,FALSE)))</f>
        <v>101</v>
      </c>
    </row>
    <row r="31" spans="1:17" s="936" customFormat="1" ht="15.75" thickBot="1">
      <c r="A31" s="1082"/>
      <c r="B31" s="1163">
        <f>margins!Y22</f>
        <v>9.75</v>
      </c>
      <c r="C31" s="1321">
        <v>105.602</v>
      </c>
      <c r="D31" s="1319">
        <v>105.05200000000001</v>
      </c>
      <c r="E31" s="1323">
        <v>104.55200000000001</v>
      </c>
      <c r="G31" s="1081"/>
      <c r="H31" s="1080"/>
      <c r="J31" s="1357" t="s">
        <v>146</v>
      </c>
      <c r="K31" s="1838" t="s">
        <v>147</v>
      </c>
      <c r="L31" s="1839"/>
      <c r="M31" s="1312"/>
      <c r="O31" s="417"/>
      <c r="P31" s="417"/>
      <c r="Q31" s="417"/>
    </row>
    <row r="32" spans="1:17" s="936" customFormat="1" ht="15.75" thickBot="1">
      <c r="A32" s="1082"/>
      <c r="B32" s="1163">
        <f>margins!Y23</f>
        <v>9.875</v>
      </c>
      <c r="C32" s="1321">
        <v>106.12700000000001</v>
      </c>
      <c r="D32" s="1319">
        <v>105.577</v>
      </c>
      <c r="E32" s="1323">
        <v>105.077</v>
      </c>
      <c r="J32" s="1357" t="s">
        <v>148</v>
      </c>
      <c r="K32" s="1838" t="s">
        <v>149</v>
      </c>
      <c r="L32" s="1839"/>
      <c r="M32" s="940"/>
      <c r="O32" s="746" t="s">
        <v>445</v>
      </c>
      <c r="P32" s="744"/>
      <c r="Q32" s="745"/>
    </row>
    <row r="33" spans="1:13" s="936" customFormat="1">
      <c r="A33" s="1082"/>
      <c r="B33" s="1163">
        <f>margins!Y24</f>
        <v>10</v>
      </c>
      <c r="C33" s="1321">
        <v>106.652</v>
      </c>
      <c r="D33" s="1319">
        <v>106.102</v>
      </c>
      <c r="E33" s="1323">
        <v>105.602</v>
      </c>
      <c r="J33" s="1357" t="s">
        <v>150</v>
      </c>
      <c r="K33" s="1838" t="s">
        <v>151</v>
      </c>
      <c r="L33" s="1839"/>
      <c r="M33" s="940"/>
    </row>
    <row r="34" spans="1:13" s="936" customFormat="1" ht="15.75" thickBot="1">
      <c r="A34" s="1082"/>
      <c r="B34" s="1163">
        <f>margins!Y25</f>
        <v>10.125</v>
      </c>
      <c r="C34" s="1321">
        <v>107.17700000000001</v>
      </c>
      <c r="D34" s="1319">
        <v>106.62700000000001</v>
      </c>
      <c r="E34" s="1323">
        <v>106.12700000000001</v>
      </c>
      <c r="J34" s="1358" t="s">
        <v>152</v>
      </c>
      <c r="K34" s="1836" t="s">
        <v>153</v>
      </c>
      <c r="L34" s="1837"/>
      <c r="M34" s="940"/>
    </row>
    <row r="35" spans="1:13" s="936" customFormat="1">
      <c r="A35" s="1082"/>
      <c r="B35" s="1163">
        <f>margins!Y26</f>
        <v>10.25</v>
      </c>
      <c r="C35" s="1321">
        <v>107.702</v>
      </c>
      <c r="D35" s="1319">
        <v>107.152</v>
      </c>
      <c r="E35" s="1323">
        <v>106.652</v>
      </c>
      <c r="M35" s="940"/>
    </row>
    <row r="36" spans="1:13" s="936" customFormat="1">
      <c r="A36" s="1082"/>
      <c r="B36" s="1163">
        <f>margins!Y27</f>
        <v>10.375</v>
      </c>
      <c r="C36" s="1321">
        <v>108.227</v>
      </c>
      <c r="D36" s="1319">
        <v>107.67700000000001</v>
      </c>
      <c r="E36" s="1323">
        <v>107.17700000000001</v>
      </c>
      <c r="M36" s="940"/>
    </row>
    <row r="37" spans="1:13" s="936" customFormat="1">
      <c r="A37" s="1082"/>
      <c r="B37" s="1163">
        <f>margins!Y28</f>
        <v>10.5</v>
      </c>
      <c r="C37" s="1321">
        <v>108.75200000000001</v>
      </c>
      <c r="D37" s="1319">
        <v>108.202</v>
      </c>
      <c r="E37" s="1323">
        <v>107.702</v>
      </c>
      <c r="M37" s="940"/>
    </row>
    <row r="38" spans="1:13" s="936" customFormat="1">
      <c r="A38" s="1082"/>
      <c r="B38" s="1163">
        <f>margins!Y29</f>
        <v>10.625</v>
      </c>
      <c r="C38" s="1321">
        <v>109.277</v>
      </c>
      <c r="D38" s="1319">
        <v>108.727</v>
      </c>
      <c r="E38" s="1323">
        <v>108.227</v>
      </c>
      <c r="M38" s="940"/>
    </row>
    <row r="39" spans="1:13" s="936" customFormat="1">
      <c r="A39" s="1082"/>
      <c r="B39" s="1163">
        <f>margins!Y30</f>
        <v>10.75</v>
      </c>
      <c r="C39" s="1321">
        <v>109.739</v>
      </c>
      <c r="D39" s="1319">
        <v>109.18900000000001</v>
      </c>
      <c r="E39" s="1323">
        <v>108.68900000000001</v>
      </c>
      <c r="M39" s="940"/>
    </row>
    <row r="40" spans="1:13" s="936" customFormat="1">
      <c r="A40" s="1082"/>
      <c r="B40" s="1163">
        <f>margins!Y31</f>
        <v>10.875</v>
      </c>
      <c r="C40" s="1321">
        <v>110.139</v>
      </c>
      <c r="D40" s="1319">
        <v>109.589</v>
      </c>
      <c r="E40" s="1323">
        <v>109.089</v>
      </c>
      <c r="M40" s="940"/>
    </row>
    <row r="41" spans="1:13" s="936" customFormat="1">
      <c r="A41" s="1082"/>
      <c r="B41" s="1163">
        <f>margins!Y32</f>
        <v>11</v>
      </c>
      <c r="C41" s="1321">
        <v>110.539</v>
      </c>
      <c r="D41" s="1319">
        <v>109.989</v>
      </c>
      <c r="E41" s="1323">
        <v>109.489</v>
      </c>
      <c r="M41" s="940"/>
    </row>
    <row r="42" spans="1:13" s="936" customFormat="1">
      <c r="A42" s="1082"/>
      <c r="B42" s="1163">
        <f>margins!Y33</f>
        <v>11.125</v>
      </c>
      <c r="C42" s="1321">
        <v>110.93900000000001</v>
      </c>
      <c r="D42" s="1319">
        <v>110.389</v>
      </c>
      <c r="E42" s="1323">
        <v>109.889</v>
      </c>
      <c r="M42" s="940"/>
    </row>
    <row r="43" spans="1:13" s="936" customFormat="1">
      <c r="A43" s="1082"/>
      <c r="B43" s="1114"/>
      <c r="C43" s="1113"/>
      <c r="D43" s="1214"/>
      <c r="M43" s="940"/>
    </row>
    <row r="44" spans="1:13" s="936" customFormat="1" ht="15.75" thickBot="1">
      <c r="A44" s="1082"/>
      <c r="G44" s="1081"/>
      <c r="H44" s="1080"/>
      <c r="M44" s="940"/>
    </row>
    <row r="45" spans="1:13" s="936" customFormat="1" ht="15.75" thickBot="1">
      <c r="A45" s="1082"/>
      <c r="B45" s="1823" t="s">
        <v>216</v>
      </c>
      <c r="C45" s="1823"/>
      <c r="D45" s="1823"/>
      <c r="E45" s="1736" t="s">
        <v>298</v>
      </c>
      <c r="F45" s="1737"/>
      <c r="G45" s="1737"/>
      <c r="H45" s="1737"/>
      <c r="I45" s="1737"/>
      <c r="J45" s="1738"/>
      <c r="M45" s="940"/>
    </row>
    <row r="46" spans="1:13" s="936" customFormat="1" ht="15.75" thickBot="1">
      <c r="A46" s="1082"/>
      <c r="B46" s="1286"/>
      <c r="C46" s="1293"/>
      <c r="D46" s="1294" t="s">
        <v>191</v>
      </c>
      <c r="E46" s="1108" t="s">
        <v>15</v>
      </c>
      <c r="F46" s="1111" t="s">
        <v>16</v>
      </c>
      <c r="G46" s="1108" t="s">
        <v>17</v>
      </c>
      <c r="H46" s="1110" t="s">
        <v>18</v>
      </c>
      <c r="I46" s="1109" t="s">
        <v>19</v>
      </c>
      <c r="J46" s="1107" t="s">
        <v>20</v>
      </c>
      <c r="M46" s="940"/>
    </row>
    <row r="47" spans="1:13" s="936" customFormat="1">
      <c r="A47" s="1082"/>
      <c r="B47" s="1760" t="s">
        <v>156</v>
      </c>
      <c r="C47" s="1778" t="s">
        <v>111</v>
      </c>
      <c r="D47" s="1824"/>
      <c r="E47" s="1094">
        <v>1.25</v>
      </c>
      <c r="F47" s="1094">
        <v>1</v>
      </c>
      <c r="G47" s="1094">
        <v>0.75</v>
      </c>
      <c r="H47" s="1094">
        <v>0.375</v>
      </c>
      <c r="I47" s="1094">
        <v>0.12500000000000003</v>
      </c>
      <c r="J47" s="1093">
        <v>-0.24999999999999997</v>
      </c>
      <c r="M47" s="940"/>
    </row>
    <row r="48" spans="1:13" s="936" customFormat="1">
      <c r="A48" s="1082"/>
      <c r="B48" s="1760"/>
      <c r="C48" s="1778" t="s">
        <v>24</v>
      </c>
      <c r="D48" s="1824"/>
      <c r="E48" s="1094">
        <v>1.125</v>
      </c>
      <c r="F48" s="1094">
        <v>0.875</v>
      </c>
      <c r="G48" s="1094">
        <v>0.49999999999999989</v>
      </c>
      <c r="H48" s="1094">
        <v>0.24999999999999989</v>
      </c>
      <c r="I48" s="1094">
        <v>-0.12500000000000011</v>
      </c>
      <c r="J48" s="1093">
        <v>-0.625</v>
      </c>
      <c r="M48" s="940"/>
    </row>
    <row r="49" spans="1:13" s="936" customFormat="1">
      <c r="A49" s="1082"/>
      <c r="B49" s="1760"/>
      <c r="C49" s="1778" t="s">
        <v>25</v>
      </c>
      <c r="D49" s="1824"/>
      <c r="E49" s="1094">
        <v>0.625</v>
      </c>
      <c r="F49" s="1094">
        <v>0.375</v>
      </c>
      <c r="G49" s="1094">
        <v>0.24999999999999986</v>
      </c>
      <c r="H49" s="1094">
        <v>0</v>
      </c>
      <c r="I49" s="1094">
        <v>-0.375</v>
      </c>
      <c r="J49" s="1093">
        <v>-1</v>
      </c>
      <c r="M49" s="940"/>
    </row>
    <row r="50" spans="1:13" s="936" customFormat="1" ht="15.75" thickBot="1">
      <c r="A50" s="1082"/>
      <c r="B50" s="1773"/>
      <c r="C50" s="1709" t="s">
        <v>26</v>
      </c>
      <c r="D50" s="1711"/>
      <c r="E50" s="1156">
        <v>0</v>
      </c>
      <c r="F50" s="1156">
        <v>-0.24999999999999997</v>
      </c>
      <c r="G50" s="1156">
        <v>-0.37500000000000011</v>
      </c>
      <c r="H50" s="1156">
        <v>-0.62500000000000011</v>
      </c>
      <c r="I50" s="1156">
        <v>-1</v>
      </c>
      <c r="J50" s="1155">
        <v>-1.625</v>
      </c>
      <c r="M50" s="940"/>
    </row>
    <row r="51" spans="1:13" s="936" customFormat="1" ht="15.75" thickBot="1">
      <c r="A51" s="1082"/>
      <c r="B51" s="1085"/>
      <c r="C51" s="1085"/>
      <c r="D51" s="1085"/>
      <c r="E51" s="1085"/>
      <c r="F51" s="1169"/>
      <c r="G51" s="1212"/>
      <c r="H51" s="1169"/>
      <c r="I51" s="1169"/>
      <c r="J51" s="1212"/>
      <c r="K51" s="1211"/>
      <c r="L51" s="1211"/>
      <c r="M51" s="1313"/>
    </row>
    <row r="52" spans="1:13" s="936" customFormat="1" ht="15.75" thickBot="1">
      <c r="A52" s="1082"/>
      <c r="B52" s="1823" t="s">
        <v>704</v>
      </c>
      <c r="C52" s="1823"/>
      <c r="D52" s="1823"/>
      <c r="E52" s="1736" t="s">
        <v>298</v>
      </c>
      <c r="F52" s="1737"/>
      <c r="G52" s="1737"/>
      <c r="H52" s="1737"/>
      <c r="I52" s="1737"/>
      <c r="J52" s="1738"/>
      <c r="K52" s="1128"/>
      <c r="L52" s="1128"/>
      <c r="M52" s="1310"/>
    </row>
    <row r="53" spans="1:13" s="936" customFormat="1" ht="15.75" thickBot="1">
      <c r="A53" s="1082"/>
      <c r="B53" s="1761"/>
      <c r="C53" s="1762"/>
      <c r="D53" s="1762"/>
      <c r="E53" s="1210" t="s">
        <v>15</v>
      </c>
      <c r="F53" s="1209" t="s">
        <v>16</v>
      </c>
      <c r="G53" s="1208" t="s">
        <v>17</v>
      </c>
      <c r="H53" s="1207" t="s">
        <v>18</v>
      </c>
      <c r="I53" s="1206" t="s">
        <v>19</v>
      </c>
      <c r="J53" s="1205" t="s">
        <v>20</v>
      </c>
      <c r="M53" s="940"/>
    </row>
    <row r="54" spans="1:13" s="936" customFormat="1" ht="15.75" thickBot="1">
      <c r="A54" s="1082"/>
      <c r="B54" s="1101" t="s">
        <v>71</v>
      </c>
      <c r="C54" s="1761" t="s">
        <v>72</v>
      </c>
      <c r="D54" s="1763"/>
      <c r="E54" s="1098">
        <v>-0.25</v>
      </c>
      <c r="F54" s="1097">
        <v>-0.25</v>
      </c>
      <c r="G54" s="1097">
        <v>-0.25</v>
      </c>
      <c r="H54" s="1097">
        <v>-0.375</v>
      </c>
      <c r="I54" s="1097">
        <v>-0.5</v>
      </c>
      <c r="J54" s="1096">
        <v>-0.5</v>
      </c>
      <c r="M54" s="940"/>
    </row>
    <row r="55" spans="1:13" s="936" customFormat="1">
      <c r="A55" s="1082"/>
      <c r="B55" s="1772" t="s">
        <v>47</v>
      </c>
      <c r="C55" s="1715" t="s">
        <v>443</v>
      </c>
      <c r="D55" s="1717"/>
      <c r="E55" s="1095">
        <v>-0.25</v>
      </c>
      <c r="F55" s="1094">
        <v>-0.25</v>
      </c>
      <c r="G55" s="1094">
        <v>-0.25</v>
      </c>
      <c r="H55" s="1094">
        <v>-0.25</v>
      </c>
      <c r="I55" s="1094">
        <v>-0.25</v>
      </c>
      <c r="J55" s="1093">
        <v>-0.25</v>
      </c>
      <c r="M55" s="940"/>
    </row>
    <row r="56" spans="1:13" s="936" customFormat="1">
      <c r="A56" s="1082"/>
      <c r="B56" s="1760"/>
      <c r="C56" s="1706" t="s">
        <v>127</v>
      </c>
      <c r="D56" s="1708"/>
      <c r="E56" s="1095">
        <v>0</v>
      </c>
      <c r="F56" s="1094">
        <v>0</v>
      </c>
      <c r="G56" s="1094">
        <v>0</v>
      </c>
      <c r="H56" s="1094">
        <v>0</v>
      </c>
      <c r="I56" s="1094">
        <v>0</v>
      </c>
      <c r="J56" s="1093">
        <v>0</v>
      </c>
      <c r="M56" s="940"/>
    </row>
    <row r="57" spans="1:13" s="936" customFormat="1">
      <c r="A57" s="1082"/>
      <c r="B57" s="1760"/>
      <c r="C57" s="1706" t="s">
        <v>128</v>
      </c>
      <c r="D57" s="1708"/>
      <c r="E57" s="1095">
        <v>0</v>
      </c>
      <c r="F57" s="1094">
        <v>0</v>
      </c>
      <c r="G57" s="1094">
        <v>0</v>
      </c>
      <c r="H57" s="1094">
        <v>0</v>
      </c>
      <c r="I57" s="1094">
        <v>0</v>
      </c>
      <c r="J57" s="1093">
        <v>0</v>
      </c>
      <c r="M57" s="940"/>
    </row>
    <row r="58" spans="1:13" s="936" customFormat="1">
      <c r="A58" s="1082"/>
      <c r="B58" s="1760"/>
      <c r="C58" s="1706" t="s">
        <v>129</v>
      </c>
      <c r="D58" s="1708"/>
      <c r="E58" s="1095">
        <v>0</v>
      </c>
      <c r="F58" s="1094">
        <v>0</v>
      </c>
      <c r="G58" s="1094">
        <v>0</v>
      </c>
      <c r="H58" s="1094">
        <v>0</v>
      </c>
      <c r="I58" s="1094">
        <v>0</v>
      </c>
      <c r="J58" s="1093" t="s">
        <v>14</v>
      </c>
      <c r="M58" s="940"/>
    </row>
    <row r="59" spans="1:13" s="936" customFormat="1">
      <c r="A59" s="1082"/>
      <c r="B59" s="1760"/>
      <c r="C59" s="1706" t="s">
        <v>130</v>
      </c>
      <c r="D59" s="1708"/>
      <c r="E59" s="1095">
        <v>-0.25</v>
      </c>
      <c r="F59" s="1094">
        <v>-0.25</v>
      </c>
      <c r="G59" s="1094">
        <v>-0.25</v>
      </c>
      <c r="H59" s="1094">
        <v>-0.25</v>
      </c>
      <c r="I59" s="1094" t="s">
        <v>14</v>
      </c>
      <c r="J59" s="1093" t="s">
        <v>14</v>
      </c>
      <c r="M59" s="940"/>
    </row>
    <row r="60" spans="1:13" s="936" customFormat="1">
      <c r="A60" s="1082"/>
      <c r="B60" s="1760"/>
      <c r="C60" s="1706" t="s">
        <v>131</v>
      </c>
      <c r="D60" s="1708"/>
      <c r="E60" s="1095">
        <v>-0.5</v>
      </c>
      <c r="F60" s="1094">
        <v>-0.5</v>
      </c>
      <c r="G60" s="1094">
        <v>-0.5</v>
      </c>
      <c r="H60" s="1094">
        <v>-0.5</v>
      </c>
      <c r="I60" s="1094" t="s">
        <v>14</v>
      </c>
      <c r="J60" s="1093" t="s">
        <v>14</v>
      </c>
      <c r="M60" s="940"/>
    </row>
    <row r="61" spans="1:13" s="936" customFormat="1" ht="15.75" thickBot="1">
      <c r="A61" s="1082"/>
      <c r="B61" s="1773"/>
      <c r="C61" s="1712" t="s">
        <v>132</v>
      </c>
      <c r="D61" s="1714"/>
      <c r="E61" s="1095">
        <v>-1</v>
      </c>
      <c r="F61" s="1094">
        <v>-1</v>
      </c>
      <c r="G61" s="1094">
        <v>-1</v>
      </c>
      <c r="H61" s="1094">
        <v>-1.5</v>
      </c>
      <c r="I61" s="1094" t="s">
        <v>14</v>
      </c>
      <c r="J61" s="1093" t="s">
        <v>14</v>
      </c>
      <c r="M61" s="940"/>
    </row>
    <row r="62" spans="1:13" s="936" customFormat="1" ht="15.75" thickBot="1">
      <c r="A62" s="1082"/>
      <c r="B62" s="1272" t="s">
        <v>56</v>
      </c>
      <c r="C62" s="1761" t="s">
        <v>558</v>
      </c>
      <c r="D62" s="1763"/>
      <c r="E62" s="1092">
        <v>-0.375</v>
      </c>
      <c r="F62" s="1091">
        <v>-0.375</v>
      </c>
      <c r="G62" s="1091">
        <v>-0.375</v>
      </c>
      <c r="H62" s="1091">
        <v>-0.5</v>
      </c>
      <c r="I62" s="1091" t="s">
        <v>14</v>
      </c>
      <c r="J62" s="1090" t="s">
        <v>14</v>
      </c>
      <c r="M62" s="940"/>
    </row>
    <row r="63" spans="1:13" s="936" customFormat="1" ht="15.75" thickBot="1">
      <c r="A63" s="1082"/>
      <c r="B63" s="1101" t="s">
        <v>62</v>
      </c>
      <c r="C63" s="1761" t="s">
        <v>158</v>
      </c>
      <c r="D63" s="1763"/>
      <c r="E63" s="1098">
        <v>-0.5</v>
      </c>
      <c r="F63" s="1097">
        <v>-0.5</v>
      </c>
      <c r="G63" s="1097">
        <v>-0.5</v>
      </c>
      <c r="H63" s="1097">
        <v>-0.5</v>
      </c>
      <c r="I63" s="1097">
        <v>-0.5</v>
      </c>
      <c r="J63" s="1096">
        <v>-0.5</v>
      </c>
      <c r="M63" s="940"/>
    </row>
    <row r="64" spans="1:13" s="936" customFormat="1" ht="15.75" thickBot="1">
      <c r="A64" s="1082"/>
      <c r="B64" s="1101" t="s">
        <v>65</v>
      </c>
      <c r="C64" s="1761" t="s">
        <v>618</v>
      </c>
      <c r="D64" s="1763"/>
      <c r="E64" s="1098">
        <v>-0.5</v>
      </c>
      <c r="F64" s="1097">
        <v>-0.5</v>
      </c>
      <c r="G64" s="1097">
        <v>-0.5</v>
      </c>
      <c r="H64" s="1097">
        <v>-0.5</v>
      </c>
      <c r="I64" s="1097">
        <v>-0.625</v>
      </c>
      <c r="J64" s="1096">
        <v>-0.75</v>
      </c>
      <c r="M64" s="940"/>
    </row>
    <row r="65" spans="1:13" s="936" customFormat="1" ht="15" customHeight="1">
      <c r="A65" s="1082"/>
      <c r="B65" s="1757" t="s">
        <v>584</v>
      </c>
      <c r="C65" s="1716" t="s">
        <v>95</v>
      </c>
      <c r="D65" s="1717"/>
      <c r="E65" s="1092">
        <v>0.75</v>
      </c>
      <c r="F65" s="1091">
        <v>0.75</v>
      </c>
      <c r="G65" s="1091">
        <v>0.75</v>
      </c>
      <c r="H65" s="1091">
        <v>0.75</v>
      </c>
      <c r="I65" s="1091">
        <v>1</v>
      </c>
      <c r="J65" s="1090">
        <v>1.25</v>
      </c>
      <c r="M65" s="940"/>
    </row>
    <row r="66" spans="1:13" s="936" customFormat="1">
      <c r="A66" s="1082"/>
      <c r="B66" s="1758"/>
      <c r="C66" s="1707" t="s">
        <v>96</v>
      </c>
      <c r="D66" s="1708"/>
      <c r="E66" s="1095">
        <v>0.625</v>
      </c>
      <c r="F66" s="1094">
        <v>0.625</v>
      </c>
      <c r="G66" s="1094">
        <v>0.625</v>
      </c>
      <c r="H66" s="1094">
        <v>0.625</v>
      </c>
      <c r="I66" s="1094">
        <v>0.75</v>
      </c>
      <c r="J66" s="1093">
        <v>1</v>
      </c>
      <c r="M66" s="940"/>
    </row>
    <row r="67" spans="1:13" s="936" customFormat="1">
      <c r="A67" s="1082"/>
      <c r="B67" s="1758"/>
      <c r="C67" s="1707" t="s">
        <v>7</v>
      </c>
      <c r="D67" s="1708"/>
      <c r="E67" s="1095">
        <v>0.125</v>
      </c>
      <c r="F67" s="1094">
        <v>0.125</v>
      </c>
      <c r="G67" s="1094">
        <v>0.125</v>
      </c>
      <c r="H67" s="1094">
        <v>0.125</v>
      </c>
      <c r="I67" s="1094">
        <v>0.125</v>
      </c>
      <c r="J67" s="1093">
        <v>0.125</v>
      </c>
      <c r="M67" s="940"/>
    </row>
    <row r="68" spans="1:13" s="936" customFormat="1">
      <c r="A68" s="1082"/>
      <c r="B68" s="1758"/>
      <c r="C68" s="1707" t="s">
        <v>9</v>
      </c>
      <c r="D68" s="1708"/>
      <c r="E68" s="1095">
        <v>-0.5</v>
      </c>
      <c r="F68" s="1094">
        <v>-0.5</v>
      </c>
      <c r="G68" s="1094">
        <v>-0.5</v>
      </c>
      <c r="H68" s="1094">
        <v>-0.5</v>
      </c>
      <c r="I68" s="1094">
        <v>-0.5</v>
      </c>
      <c r="J68" s="1093">
        <v>-0.5</v>
      </c>
      <c r="M68" s="940"/>
    </row>
    <row r="69" spans="1:13" s="936" customFormat="1">
      <c r="A69" s="1082"/>
      <c r="B69" s="1758"/>
      <c r="C69" s="1707" t="s">
        <v>11</v>
      </c>
      <c r="D69" s="1708"/>
      <c r="E69" s="1095">
        <v>-1.6250000000000002</v>
      </c>
      <c r="F69" s="1094">
        <v>-1.6250000000000002</v>
      </c>
      <c r="G69" s="1094">
        <v>-1.6250000000000002</v>
      </c>
      <c r="H69" s="1094">
        <v>-1.6250000000000002</v>
      </c>
      <c r="I69" s="1094">
        <v>-1.6250000000000002</v>
      </c>
      <c r="J69" s="1093">
        <v>-1.6250000000000002</v>
      </c>
      <c r="M69" s="940"/>
    </row>
    <row r="70" spans="1:13" s="936" customFormat="1" ht="15.75" thickBot="1">
      <c r="A70" s="1082"/>
      <c r="B70" s="1759"/>
      <c r="C70" s="1713" t="s">
        <v>97</v>
      </c>
      <c r="D70" s="1714"/>
      <c r="E70" s="1088">
        <v>-2.25</v>
      </c>
      <c r="F70" s="1087">
        <v>-2.25</v>
      </c>
      <c r="G70" s="1087">
        <v>-2.25</v>
      </c>
      <c r="H70" s="1087">
        <v>-2.25</v>
      </c>
      <c r="I70" s="1087">
        <v>-2.25</v>
      </c>
      <c r="J70" s="1086">
        <v>-2.25</v>
      </c>
      <c r="M70" s="940"/>
    </row>
    <row r="71" spans="1:13" s="936" customFormat="1" ht="15.75" thickBot="1">
      <c r="A71" s="1082"/>
      <c r="B71" s="1772" t="s">
        <v>68</v>
      </c>
      <c r="C71" s="1761" t="s">
        <v>69</v>
      </c>
      <c r="D71" s="1763"/>
      <c r="E71" s="1098">
        <v>-0.25</v>
      </c>
      <c r="F71" s="1097">
        <v>-0.25</v>
      </c>
      <c r="G71" s="1097">
        <v>-0.25</v>
      </c>
      <c r="H71" s="1097">
        <v>-0.25</v>
      </c>
      <c r="I71" s="1097">
        <v>-0.25</v>
      </c>
      <c r="J71" s="1096">
        <v>-0.25</v>
      </c>
      <c r="M71" s="940"/>
    </row>
    <row r="72" spans="1:13" s="936" customFormat="1" ht="15.75" thickBot="1">
      <c r="A72" s="1082"/>
      <c r="B72" s="1773"/>
      <c r="C72" s="1761" t="s">
        <v>161</v>
      </c>
      <c r="D72" s="1763"/>
      <c r="E72" s="1098">
        <v>-0.25</v>
      </c>
      <c r="F72" s="1097">
        <v>-0.25</v>
      </c>
      <c r="G72" s="1097">
        <v>-0.25</v>
      </c>
      <c r="H72" s="1097">
        <v>-0.25</v>
      </c>
      <c r="I72" s="1097">
        <v>-0.25</v>
      </c>
      <c r="J72" s="1096">
        <v>-0.25</v>
      </c>
      <c r="M72" s="940"/>
    </row>
    <row r="73" spans="1:13" s="936" customFormat="1" ht="15" customHeight="1">
      <c r="A73" s="1082"/>
      <c r="C73" s="1150"/>
      <c r="D73" s="1150"/>
      <c r="E73" s="1150"/>
      <c r="F73" s="1158"/>
      <c r="G73" s="1203"/>
      <c r="H73" s="1158"/>
      <c r="I73" s="1158"/>
      <c r="J73" s="1203"/>
      <c r="K73" s="1203"/>
      <c r="L73" s="1203"/>
      <c r="M73" s="1279"/>
    </row>
    <row r="74" spans="1:13" s="936" customFormat="1">
      <c r="A74" s="1082"/>
      <c r="C74" s="1150"/>
      <c r="D74" s="1150"/>
      <c r="E74" s="1150"/>
      <c r="F74" s="1158"/>
      <c r="G74" s="1203"/>
      <c r="H74" s="1158"/>
      <c r="I74" s="1158"/>
      <c r="J74" s="1203"/>
      <c r="K74" s="1203"/>
      <c r="L74" s="1203"/>
      <c r="M74" s="1279"/>
    </row>
    <row r="75" spans="1:13" s="936" customFormat="1">
      <c r="A75" s="1082"/>
      <c r="C75" s="1150"/>
      <c r="D75" s="1150"/>
      <c r="E75" s="1150"/>
      <c r="F75" s="1158"/>
      <c r="G75" s="1203"/>
      <c r="H75" s="1158"/>
      <c r="I75" s="1158"/>
      <c r="J75" s="1203"/>
      <c r="K75" s="1203"/>
      <c r="L75" s="1203"/>
      <c r="M75" s="1279"/>
    </row>
    <row r="76" spans="1:13" s="936" customFormat="1">
      <c r="A76" s="1082"/>
      <c r="C76" s="1150"/>
      <c r="D76" s="1150"/>
      <c r="E76" s="1150"/>
      <c r="F76" s="1158"/>
      <c r="G76" s="1203"/>
      <c r="H76" s="1158"/>
      <c r="I76" s="1158"/>
      <c r="J76" s="1203"/>
      <c r="K76" s="1203"/>
      <c r="L76" s="1203"/>
      <c r="M76" s="1279"/>
    </row>
    <row r="77" spans="1:13" s="936" customFormat="1" ht="15" customHeight="1">
      <c r="A77" s="1082"/>
      <c r="C77" s="1150"/>
      <c r="D77" s="1150"/>
      <c r="E77" s="1150"/>
      <c r="F77" s="1203"/>
      <c r="G77" s="1203"/>
      <c r="H77" s="1158"/>
      <c r="I77" s="1203"/>
      <c r="J77" s="1203"/>
      <c r="K77" s="1158"/>
      <c r="L77" s="1158"/>
      <c r="M77" s="1279"/>
    </row>
    <row r="78" spans="1:13" s="936" customFormat="1">
      <c r="A78" s="1082"/>
      <c r="B78" s="1204"/>
      <c r="C78" s="1150"/>
      <c r="D78" s="1150"/>
      <c r="E78" s="1150"/>
      <c r="F78" s="1203"/>
      <c r="G78" s="1158"/>
      <c r="H78" s="1203"/>
      <c r="I78" s="1203"/>
      <c r="J78" s="1158"/>
      <c r="K78" s="1158"/>
      <c r="L78" s="1158"/>
      <c r="M78" s="1279"/>
    </row>
    <row r="79" spans="1:13" s="936" customFormat="1">
      <c r="A79" s="1082"/>
      <c r="B79" s="1204"/>
      <c r="C79" s="1150"/>
      <c r="D79" s="1150"/>
      <c r="E79" s="1150"/>
      <c r="F79" s="1203"/>
      <c r="G79" s="1158"/>
      <c r="H79" s="1203"/>
      <c r="I79" s="1203"/>
      <c r="J79" s="1158"/>
      <c r="K79" s="1158"/>
      <c r="L79" s="1158"/>
      <c r="M79" s="1279"/>
    </row>
    <row r="80" spans="1:13" s="936" customFormat="1">
      <c r="A80" s="1082"/>
      <c r="B80" s="1204"/>
      <c r="C80" s="1150"/>
      <c r="D80" s="1150"/>
      <c r="E80" s="1150"/>
      <c r="F80" s="1203"/>
      <c r="G80" s="1158"/>
      <c r="H80" s="1203"/>
      <c r="I80" s="1203"/>
      <c r="J80" s="1158"/>
      <c r="K80" s="1158"/>
      <c r="L80" s="1158"/>
      <c r="M80" s="1279"/>
    </row>
    <row r="81" spans="1:13" s="936" customFormat="1">
      <c r="A81" s="1082"/>
      <c r="B81" s="1204"/>
      <c r="C81" s="1150"/>
      <c r="D81" s="1150"/>
      <c r="E81" s="1150"/>
      <c r="F81" s="1203"/>
      <c r="G81" s="1203"/>
      <c r="H81" s="1158"/>
      <c r="I81" s="1203"/>
      <c r="J81" s="1203"/>
      <c r="K81" s="1158"/>
      <c r="L81" s="1158"/>
      <c r="M81" s="1279"/>
    </row>
    <row r="82" spans="1:13" s="936" customFormat="1">
      <c r="A82" s="1082"/>
      <c r="B82" s="1085" t="s">
        <v>583</v>
      </c>
      <c r="C82" s="1150"/>
      <c r="D82" s="1150"/>
      <c r="E82" s="1150"/>
      <c r="F82" s="1203"/>
      <c r="G82" s="1203"/>
      <c r="H82" s="1158"/>
      <c r="I82" s="1203"/>
      <c r="J82" s="1203"/>
      <c r="K82" s="1158"/>
      <c r="L82" s="1158"/>
      <c r="M82" s="1279"/>
    </row>
    <row r="83" spans="1:13" s="936" customFormat="1">
      <c r="A83" s="1082"/>
      <c r="B83" s="1085"/>
      <c r="C83" s="1150"/>
      <c r="D83" s="1150"/>
      <c r="E83" s="1150"/>
      <c r="F83" s="1158"/>
      <c r="G83" s="1203"/>
      <c r="H83" s="1158"/>
      <c r="I83" s="1158"/>
      <c r="J83" s="1203"/>
      <c r="K83" s="1203"/>
      <c r="L83" s="1203"/>
      <c r="M83" s="1279"/>
    </row>
    <row r="84" spans="1:13" s="936" customFormat="1">
      <c r="A84" s="1082"/>
      <c r="B84" s="1085"/>
      <c r="C84" s="1150"/>
      <c r="D84" s="1150"/>
      <c r="E84" s="1150"/>
      <c r="F84" s="1158"/>
      <c r="G84" s="1203"/>
      <c r="H84" s="1158"/>
      <c r="I84" s="1158"/>
      <c r="J84" s="1203"/>
      <c r="K84" s="1203"/>
      <c r="L84" s="1203"/>
      <c r="M84" s="1279"/>
    </row>
    <row r="85" spans="1:13" s="936" customFormat="1">
      <c r="A85" s="1082"/>
      <c r="B85" s="1085"/>
      <c r="C85" s="1150"/>
      <c r="D85" s="1150"/>
      <c r="E85" s="1150"/>
      <c r="F85" s="1158"/>
      <c r="G85" s="1203"/>
      <c r="H85" s="1158"/>
      <c r="I85" s="1158"/>
      <c r="J85" s="1203"/>
      <c r="K85" s="1203"/>
      <c r="L85" s="1203"/>
      <c r="M85" s="1279"/>
    </row>
    <row r="86" spans="1:13" s="936" customFormat="1">
      <c r="A86" s="1082"/>
      <c r="B86" s="1085" t="s">
        <v>68</v>
      </c>
      <c r="D86" s="1150"/>
      <c r="E86" s="1150"/>
      <c r="F86" s="1158"/>
      <c r="G86" s="1203"/>
      <c r="H86" s="1158"/>
      <c r="I86" s="1158"/>
      <c r="J86" s="1203"/>
      <c r="K86" s="1203"/>
      <c r="L86" s="1203"/>
      <c r="M86" s="1279"/>
    </row>
    <row r="87" spans="1:13" s="936" customFormat="1">
      <c r="A87" s="1082"/>
      <c r="B87" s="1085"/>
      <c r="D87" s="1150"/>
      <c r="E87" s="1150"/>
      <c r="F87" s="1158"/>
      <c r="G87" s="1203"/>
      <c r="H87" s="1158"/>
      <c r="I87" s="1158"/>
      <c r="J87" s="1203"/>
      <c r="K87" s="1203"/>
      <c r="L87" s="1203"/>
      <c r="M87" s="1279"/>
    </row>
    <row r="88" spans="1:13" s="936" customFormat="1">
      <c r="A88" s="1082"/>
      <c r="B88" s="1170" t="s">
        <v>133</v>
      </c>
      <c r="C88" s="1150"/>
      <c r="D88" s="1150"/>
      <c r="E88" s="1150"/>
      <c r="F88" s="1168"/>
      <c r="G88" s="1168"/>
      <c r="H88" s="1168"/>
      <c r="I88" s="1168"/>
      <c r="J88" s="1168"/>
      <c r="K88" s="1168"/>
      <c r="L88" s="1168"/>
      <c r="M88" s="1314"/>
    </row>
    <row r="89" spans="1:13" s="936" customFormat="1">
      <c r="A89" s="1082"/>
      <c r="B89" s="1151"/>
      <c r="C89" s="1150"/>
      <c r="D89" s="1150"/>
      <c r="E89" s="1150"/>
      <c r="F89" s="1150"/>
      <c r="G89" s="1150"/>
      <c r="H89" s="1150"/>
      <c r="I89" s="1150"/>
      <c r="J89" s="1150"/>
      <c r="K89" s="1150"/>
      <c r="L89" s="1150"/>
      <c r="M89" s="1315"/>
    </row>
    <row r="90" spans="1:13" s="936" customFormat="1">
      <c r="A90" s="1082"/>
      <c r="M90" s="940"/>
    </row>
    <row r="91" spans="1:13" s="936" customFormat="1">
      <c r="A91" s="1082"/>
      <c r="M91" s="940"/>
    </row>
    <row r="92" spans="1:13" s="936" customFormat="1">
      <c r="A92" s="1082"/>
      <c r="M92" s="940"/>
    </row>
    <row r="93" spans="1:13" s="936" customFormat="1">
      <c r="A93" s="1082"/>
      <c r="M93" s="940"/>
    </row>
    <row r="94" spans="1:13" s="936" customFormat="1">
      <c r="A94" s="1082"/>
      <c r="M94" s="940"/>
    </row>
    <row r="95" spans="1:13" s="936" customFormat="1">
      <c r="A95" s="1082"/>
      <c r="M95" s="940"/>
    </row>
    <row r="96" spans="1:13" s="936" customFormat="1">
      <c r="A96" s="1082"/>
      <c r="M96" s="940"/>
    </row>
    <row r="97" spans="1:13" s="936" customFormat="1">
      <c r="A97" s="1082"/>
      <c r="M97" s="940"/>
    </row>
    <row r="98" spans="1:13" s="936" customFormat="1" ht="15" customHeight="1">
      <c r="A98" s="1082"/>
      <c r="M98" s="940"/>
    </row>
    <row r="99" spans="1:13" s="936" customFormat="1" ht="15" customHeight="1">
      <c r="A99" s="1082"/>
      <c r="M99" s="940"/>
    </row>
    <row r="100" spans="1:13" s="936" customFormat="1" ht="15" customHeight="1">
      <c r="A100" s="1082"/>
      <c r="M100" s="940"/>
    </row>
    <row r="101" spans="1:13" s="936" customFormat="1" ht="15" customHeight="1">
      <c r="A101" s="1082"/>
      <c r="M101" s="940"/>
    </row>
    <row r="102" spans="1:13" s="936" customFormat="1" ht="15" customHeight="1">
      <c r="A102" s="1082"/>
      <c r="M102" s="940"/>
    </row>
    <row r="103" spans="1:13" s="936" customFormat="1" ht="15" customHeight="1">
      <c r="A103" s="1082"/>
      <c r="M103" s="940"/>
    </row>
    <row r="104" spans="1:13" s="936" customFormat="1">
      <c r="A104" s="1082"/>
      <c r="M104" s="940"/>
    </row>
    <row r="105" spans="1:13" s="936" customFormat="1">
      <c r="A105" s="1082"/>
      <c r="M105" s="940"/>
    </row>
    <row r="106" spans="1:13" s="936" customFormat="1">
      <c r="A106" s="1082"/>
      <c r="M106" s="940"/>
    </row>
    <row r="107" spans="1:13" s="936" customFormat="1">
      <c r="A107" s="1082"/>
      <c r="M107" s="940"/>
    </row>
    <row r="108" spans="1:13" s="936" customFormat="1">
      <c r="A108" s="1082"/>
      <c r="G108" s="1081"/>
      <c r="H108" s="1080"/>
      <c r="M108" s="940"/>
    </row>
    <row r="109" spans="1:13" s="936" customFormat="1">
      <c r="A109" s="1082"/>
      <c r="G109" s="1081"/>
      <c r="H109" s="1080"/>
      <c r="M109" s="940"/>
    </row>
    <row r="110" spans="1:13" s="936" customFormat="1">
      <c r="A110" s="1082"/>
      <c r="G110" s="1081"/>
      <c r="H110" s="1080"/>
      <c r="M110" s="940"/>
    </row>
    <row r="111" spans="1:13" s="936" customFormat="1">
      <c r="A111" s="1082"/>
      <c r="G111" s="1081"/>
      <c r="H111" s="1080"/>
      <c r="M111" s="940"/>
    </row>
    <row r="112" spans="1:13" s="936" customFormat="1">
      <c r="A112" s="1082"/>
      <c r="G112" s="1081"/>
      <c r="H112" s="1080"/>
      <c r="M112" s="940"/>
    </row>
    <row r="113" spans="1:13" s="936" customFormat="1">
      <c r="A113" s="1082"/>
      <c r="M113" s="940"/>
    </row>
    <row r="114" spans="1:13" s="936" customFormat="1">
      <c r="A114" s="1082"/>
      <c r="M114" s="940"/>
    </row>
    <row r="115" spans="1:13" s="936" customFormat="1">
      <c r="A115" s="1082"/>
      <c r="M115" s="940"/>
    </row>
    <row r="116" spans="1:13" s="936" customFormat="1">
      <c r="A116" s="1082"/>
      <c r="M116" s="940"/>
    </row>
    <row r="117" spans="1:13" s="936" customFormat="1">
      <c r="A117" s="1082"/>
      <c r="M117" s="940"/>
    </row>
    <row r="118" spans="1:13" s="936" customFormat="1">
      <c r="A118" s="1082"/>
      <c r="M118" s="940"/>
    </row>
    <row r="119" spans="1:13" s="936" customFormat="1">
      <c r="A119" s="1082"/>
      <c r="M119" s="940"/>
    </row>
    <row r="120" spans="1:13" s="936" customFormat="1" ht="15.75" thickBot="1">
      <c r="A120" s="1149"/>
      <c r="M120" s="940"/>
    </row>
    <row r="121" spans="1:13" s="936" customFormat="1" ht="15" customHeight="1">
      <c r="A121" s="945"/>
      <c r="B121" s="1799" t="s">
        <v>181</v>
      </c>
      <c r="C121" s="1799"/>
      <c r="D121" s="1799"/>
      <c r="E121" s="1799"/>
      <c r="F121" s="1799"/>
      <c r="G121" s="1799"/>
      <c r="H121" s="1799"/>
      <c r="I121" s="1799"/>
      <c r="J121" s="1799"/>
      <c r="K121" s="1799"/>
      <c r="L121" s="1799"/>
      <c r="M121" s="1820"/>
    </row>
    <row r="122" spans="1:13" s="936" customFormat="1">
      <c r="A122" s="942"/>
      <c r="B122" s="1800"/>
      <c r="C122" s="1800"/>
      <c r="D122" s="1800"/>
      <c r="E122" s="1800"/>
      <c r="F122" s="1800"/>
      <c r="G122" s="1800"/>
      <c r="H122" s="1800"/>
      <c r="I122" s="1800"/>
      <c r="J122" s="1800"/>
      <c r="K122" s="1800"/>
      <c r="L122" s="1800"/>
      <c r="M122" s="1821"/>
    </row>
    <row r="123" spans="1:13" s="936" customFormat="1">
      <c r="A123" s="942"/>
      <c r="B123" s="1800"/>
      <c r="C123" s="1800"/>
      <c r="D123" s="1800"/>
      <c r="E123" s="1800"/>
      <c r="F123" s="1800"/>
      <c r="G123" s="1800"/>
      <c r="H123" s="1800"/>
      <c r="I123" s="1800"/>
      <c r="J123" s="1800"/>
      <c r="K123" s="1800"/>
      <c r="L123" s="1800"/>
      <c r="M123" s="1821"/>
    </row>
    <row r="124" spans="1:13" s="936" customFormat="1" ht="15.75" thickBot="1">
      <c r="A124" s="939"/>
      <c r="B124" s="1801"/>
      <c r="C124" s="1801"/>
      <c r="D124" s="1801"/>
      <c r="E124" s="1801"/>
      <c r="F124" s="1801"/>
      <c r="G124" s="1801"/>
      <c r="H124" s="1801"/>
      <c r="I124" s="1801"/>
      <c r="J124" s="1801"/>
      <c r="K124" s="1801"/>
      <c r="L124" s="1801"/>
      <c r="M124" s="1822"/>
    </row>
  </sheetData>
  <mergeCells count="48"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margins!$U$128:$U$132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margins!$U$146:$U$153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margins!$U$134:$U$135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margins!$U$143:$U$144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margins!$U$140:$U$141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margins!$U$155:$U$156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margins!$U$137:$U$138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zoomScaleNormal="130" workbookViewId="0">
      <selection activeCell="U71" sqref="U7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93"/>
      <c r="B2" s="1694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291"/>
      <c r="P2" s="292"/>
    </row>
    <row r="3" spans="1:16" ht="9.9499999999999993" customHeight="1">
      <c r="A3" s="1696"/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97"/>
      <c r="D6" s="1697"/>
      <c r="E6" s="1697"/>
      <c r="F6" s="1697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98"/>
      <c r="D7" s="1698"/>
      <c r="E7" s="1698"/>
      <c r="F7" s="1698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99"/>
      <c r="D8" s="1699"/>
      <c r="E8" s="1699"/>
      <c r="F8" s="1699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700" t="s">
        <v>329</v>
      </c>
      <c r="G9" s="1700"/>
      <c r="H9" s="1701">
        <v>46223</v>
      </c>
      <c r="I9" s="1701"/>
      <c r="J9" s="1701"/>
      <c r="K9" s="1701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84"/>
      <c r="D10" s="1684"/>
      <c r="E10" s="1684"/>
      <c r="F10" s="1684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85" t="s">
        <v>339</v>
      </c>
      <c r="C12" s="1685"/>
      <c r="D12" s="1685"/>
      <c r="E12" s="1685"/>
      <c r="F12" s="1685"/>
      <c r="G12" s="1685"/>
      <c r="H12" s="1685"/>
      <c r="I12" s="1685"/>
      <c r="J12" s="1685"/>
      <c r="K12" s="1685"/>
      <c r="L12" s="1685"/>
      <c r="M12" s="1685"/>
      <c r="N12" s="1685"/>
      <c r="O12" s="1685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73" t="s">
        <v>162</v>
      </c>
      <c r="C14" s="1674"/>
      <c r="D14" s="1674"/>
      <c r="E14" s="1674"/>
      <c r="F14" s="1674"/>
      <c r="G14" s="1675"/>
      <c r="H14" s="317"/>
      <c r="I14" s="1673" t="s">
        <v>163</v>
      </c>
      <c r="J14" s="1674"/>
      <c r="K14" s="1674"/>
      <c r="L14" s="1674"/>
      <c r="M14" s="1674"/>
      <c r="N14" s="1674"/>
      <c r="O14" s="1675"/>
      <c r="P14" s="318"/>
    </row>
    <row r="15" spans="1:16" ht="9.9499999999999993" customHeight="1">
      <c r="A15" s="316"/>
      <c r="B15" s="1676"/>
      <c r="C15" s="1677"/>
      <c r="D15" s="1677"/>
      <c r="E15" s="1677"/>
      <c r="F15" s="1677"/>
      <c r="G15" s="1678"/>
      <c r="H15" s="317"/>
      <c r="I15" s="1676"/>
      <c r="J15" s="1677"/>
      <c r="K15" s="1677"/>
      <c r="L15" s="1677"/>
      <c r="M15" s="1677"/>
      <c r="N15" s="1677"/>
      <c r="O15" s="1678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86" t="s">
        <v>255</v>
      </c>
      <c r="K16" s="1687"/>
      <c r="L16" s="1687"/>
      <c r="M16" s="1688"/>
      <c r="N16" s="168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87"/>
      <c r="K17" s="1687"/>
      <c r="L17" s="1687"/>
      <c r="M17" s="1688"/>
      <c r="N17" s="168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87"/>
      <c r="K18" s="1687"/>
      <c r="L18" s="1687"/>
      <c r="M18" s="1688"/>
      <c r="N18" s="1689"/>
      <c r="O18" s="330"/>
      <c r="P18" s="318"/>
    </row>
    <row r="19" spans="1:17" ht="9.9499999999999993" customHeight="1">
      <c r="A19" s="319"/>
      <c r="B19" s="317"/>
      <c r="C19" s="331" t="s">
        <v>165</v>
      </c>
      <c r="D19" s="1228" t="s">
        <v>635</v>
      </c>
      <c r="E19" s="328"/>
      <c r="F19" s="333"/>
      <c r="G19" s="334"/>
      <c r="H19" s="317"/>
      <c r="I19" s="325"/>
      <c r="J19" s="1687"/>
      <c r="K19" s="1687"/>
      <c r="L19" s="1687"/>
      <c r="M19" s="1688"/>
      <c r="N19" s="168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87"/>
      <c r="K20" s="1687"/>
      <c r="L20" s="1687"/>
      <c r="M20" s="1688"/>
      <c r="N20" s="1689"/>
      <c r="O20" s="330"/>
      <c r="P20" s="318"/>
    </row>
    <row r="21" spans="1:17" ht="9.9499999999999993" customHeight="1">
      <c r="A21" s="319"/>
      <c r="B21" s="317"/>
      <c r="C21" s="358" t="s">
        <v>672</v>
      </c>
      <c r="D21" s="359"/>
      <c r="E21" s="335"/>
      <c r="F21" s="335"/>
      <c r="G21" s="330"/>
      <c r="H21" s="317"/>
      <c r="I21" s="325"/>
      <c r="J21" s="1687"/>
      <c r="K21" s="1687"/>
      <c r="L21" s="1687"/>
      <c r="M21" s="1688"/>
      <c r="N21" s="168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87"/>
      <c r="K22" s="1687"/>
      <c r="L22" s="1687"/>
      <c r="M22" s="1688"/>
      <c r="N22" s="168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90"/>
      <c r="K23" s="1690"/>
      <c r="L23" s="1690"/>
      <c r="M23" s="1691"/>
      <c r="N23" s="169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73" t="s">
        <v>170</v>
      </c>
      <c r="C25" s="1674"/>
      <c r="D25" s="1674"/>
      <c r="E25" s="1674"/>
      <c r="F25" s="1674"/>
      <c r="G25" s="1675"/>
      <c r="H25" s="340"/>
      <c r="I25" s="1673" t="s">
        <v>326</v>
      </c>
      <c r="J25" s="1674"/>
      <c r="K25" s="1674"/>
      <c r="L25" s="1674"/>
      <c r="M25" s="1674"/>
      <c r="N25" s="1674"/>
      <c r="O25" s="1675"/>
      <c r="P25" s="318"/>
    </row>
    <row r="26" spans="1:17" ht="9.9499999999999993" customHeight="1">
      <c r="A26" s="316"/>
      <c r="B26" s="1676"/>
      <c r="C26" s="1677"/>
      <c r="D26" s="1677"/>
      <c r="E26" s="1677"/>
      <c r="F26" s="1677"/>
      <c r="G26" s="1678"/>
      <c r="H26" s="340"/>
      <c r="I26" s="1676"/>
      <c r="J26" s="1677"/>
      <c r="K26" s="1677"/>
      <c r="L26" s="1677"/>
      <c r="M26" s="1677"/>
      <c r="N26" s="1677"/>
      <c r="O26" s="1678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79" t="s">
        <v>340</v>
      </c>
      <c r="D28" s="1680"/>
      <c r="E28" s="1680"/>
      <c r="F28" s="1680"/>
      <c r="G28" s="342"/>
      <c r="H28" s="317"/>
      <c r="I28" s="1681" t="s">
        <v>678</v>
      </c>
      <c r="J28" s="1682"/>
      <c r="K28" s="1682"/>
      <c r="L28" s="1682"/>
      <c r="M28" s="1682"/>
      <c r="N28" s="1682"/>
      <c r="O28" s="1683"/>
      <c r="P28" s="318"/>
    </row>
    <row r="29" spans="1:17" ht="11.25" customHeight="1">
      <c r="A29" s="316"/>
      <c r="B29" s="351"/>
      <c r="C29" s="587" t="s">
        <v>720</v>
      </c>
      <c r="D29" s="345"/>
      <c r="E29" s="345"/>
      <c r="F29" s="115"/>
      <c r="G29" s="116" t="s">
        <v>171</v>
      </c>
      <c r="H29" s="317"/>
      <c r="I29" s="1681"/>
      <c r="J29" s="1682"/>
      <c r="K29" s="1682"/>
      <c r="L29" s="1682"/>
      <c r="M29" s="1682"/>
      <c r="N29" s="1682"/>
      <c r="O29" s="1683"/>
      <c r="P29" s="318"/>
      <c r="Q29" s="440"/>
    </row>
    <row r="30" spans="1:17" ht="9.9499999999999993" customHeight="1">
      <c r="A30" s="316"/>
      <c r="B30" s="351"/>
      <c r="C30" s="587" t="s">
        <v>334</v>
      </c>
      <c r="D30" s="345"/>
      <c r="E30" s="345"/>
      <c r="F30" s="115"/>
      <c r="G30" s="116" t="s">
        <v>172</v>
      </c>
      <c r="H30" s="317"/>
      <c r="I30" s="368"/>
      <c r="J30" s="1664"/>
      <c r="K30" s="1664"/>
      <c r="L30" s="1664"/>
      <c r="M30" s="1664"/>
      <c r="N30" s="1664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48" t="s">
        <v>173</v>
      </c>
      <c r="F38" s="1649"/>
      <c r="G38" s="1649"/>
      <c r="H38" s="1649"/>
      <c r="I38" s="1649"/>
      <c r="J38" s="1649"/>
      <c r="K38" s="1649"/>
      <c r="L38" s="1649"/>
      <c r="O38" s="329"/>
      <c r="P38" s="318"/>
    </row>
    <row r="39" spans="1:16" ht="9.9499999999999993" customHeight="1">
      <c r="A39" s="316"/>
      <c r="B39" s="351"/>
      <c r="C39" s="388"/>
      <c r="D39" s="116"/>
      <c r="E39" s="1648"/>
      <c r="F39" s="1649"/>
      <c r="G39" s="1649"/>
      <c r="H39" s="1649"/>
      <c r="I39" s="1649"/>
      <c r="J39" s="1649"/>
      <c r="K39" s="1649"/>
      <c r="L39" s="1649"/>
      <c r="O39" s="329"/>
      <c r="P39" s="318"/>
    </row>
    <row r="40" spans="1:16" ht="9.9499999999999993" customHeight="1">
      <c r="A40" s="316"/>
      <c r="B40" s="351"/>
      <c r="C40" s="377"/>
      <c r="D40" s="116"/>
      <c r="E40" s="1665" t="s">
        <v>328</v>
      </c>
      <c r="F40" s="1666"/>
      <c r="G40" s="1666"/>
      <c r="H40" s="1666"/>
      <c r="I40" s="1666"/>
      <c r="J40" s="1666"/>
      <c r="K40" s="1666"/>
      <c r="L40" s="1667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42" t="s">
        <v>31</v>
      </c>
      <c r="F46" s="1643"/>
      <c r="G46" s="1643"/>
      <c r="H46" s="1643"/>
      <c r="I46" s="1643"/>
      <c r="J46" s="1643"/>
      <c r="K46" s="1643"/>
      <c r="L46" s="1644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45" t="s">
        <v>175</v>
      </c>
      <c r="C48" s="1646"/>
      <c r="D48" s="1646"/>
      <c r="E48" s="1646"/>
      <c r="F48" s="1646"/>
      <c r="G48" s="1646"/>
      <c r="H48" s="1646"/>
      <c r="I48" s="1646"/>
      <c r="J48" s="1646"/>
      <c r="K48" s="1646"/>
      <c r="L48" s="1646"/>
      <c r="M48" s="1646"/>
      <c r="N48" s="1646"/>
      <c r="O48" s="1647"/>
      <c r="P48" s="318"/>
    </row>
    <row r="49" spans="1:16" ht="9.9499999999999993" customHeight="1">
      <c r="A49" s="316"/>
      <c r="B49" s="1648"/>
      <c r="C49" s="1649"/>
      <c r="D49" s="1649"/>
      <c r="E49" s="1649"/>
      <c r="F49" s="1649"/>
      <c r="G49" s="1649"/>
      <c r="H49" s="1649"/>
      <c r="I49" s="1649"/>
      <c r="J49" s="1649"/>
      <c r="K49" s="1649"/>
      <c r="L49" s="1649"/>
      <c r="M49" s="1649"/>
      <c r="N49" s="1649"/>
      <c r="O49" s="1650"/>
      <c r="P49" s="318"/>
    </row>
    <row r="50" spans="1:16" ht="15">
      <c r="A50" s="316"/>
      <c r="B50" s="375"/>
      <c r="C50" s="35" t="s">
        <v>468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51"/>
      <c r="G55" s="1651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45"/>
      <c r="C57" s="1652"/>
      <c r="D57" s="1652"/>
      <c r="E57" s="1652"/>
      <c r="F57" s="1652"/>
      <c r="G57" s="1652"/>
      <c r="H57" s="1652"/>
      <c r="I57" s="1652"/>
      <c r="J57" s="1652"/>
      <c r="K57" s="1652"/>
      <c r="L57" s="1652"/>
      <c r="M57" s="1652"/>
      <c r="N57" s="1652"/>
      <c r="O57" s="1653"/>
      <c r="P57" s="344"/>
    </row>
    <row r="58" spans="1:16" ht="9.9499999999999993" customHeight="1">
      <c r="A58" s="343"/>
      <c r="B58" s="1654"/>
      <c r="C58" s="1655"/>
      <c r="D58" s="1655"/>
      <c r="E58" s="1655"/>
      <c r="F58" s="1655"/>
      <c r="G58" s="1655"/>
      <c r="H58" s="1655"/>
      <c r="I58" s="1655"/>
      <c r="J58" s="1655"/>
      <c r="K58" s="1655"/>
      <c r="L58" s="1655"/>
      <c r="M58" s="1655"/>
      <c r="N58" s="1655"/>
      <c r="O58" s="1656"/>
      <c r="P58" s="344"/>
    </row>
    <row r="59" spans="1:16" ht="9.9499999999999993" customHeight="1">
      <c r="A59" s="353"/>
      <c r="B59" s="1467"/>
      <c r="C59" s="1468"/>
      <c r="D59" s="1468"/>
      <c r="E59" s="1468"/>
      <c r="F59" s="1468"/>
      <c r="G59" s="1468"/>
      <c r="H59" s="1468"/>
      <c r="I59" s="1468"/>
      <c r="J59" s="1468"/>
      <c r="K59" s="1468"/>
      <c r="L59" s="1468"/>
      <c r="M59" s="1468"/>
      <c r="N59" s="1468"/>
      <c r="O59" s="1469"/>
      <c r="P59" s="344"/>
    </row>
    <row r="60" spans="1:16" ht="9.9499999999999993" customHeight="1">
      <c r="A60" s="353"/>
      <c r="B60" s="1467"/>
      <c r="C60" s="1468"/>
      <c r="D60" s="1468"/>
      <c r="E60" s="1468"/>
      <c r="F60" s="1468"/>
      <c r="G60" s="1468"/>
      <c r="H60" s="1468"/>
      <c r="I60" s="1468"/>
      <c r="J60" s="1468"/>
      <c r="K60" s="1468"/>
      <c r="L60" s="1468"/>
      <c r="M60" s="1468"/>
      <c r="N60" s="1468"/>
      <c r="O60" s="1469"/>
      <c r="P60" s="344"/>
    </row>
    <row r="61" spans="1:16" ht="9.9499999999999993" customHeight="1">
      <c r="A61" s="353"/>
      <c r="B61" s="1470"/>
      <c r="C61" s="1657"/>
      <c r="D61" s="1657"/>
      <c r="E61" s="1657"/>
      <c r="F61" s="1657"/>
      <c r="G61" s="1657"/>
      <c r="H61" s="1657"/>
      <c r="I61" s="1657"/>
      <c r="J61" s="1657"/>
      <c r="K61" s="1657"/>
      <c r="L61" s="1657"/>
      <c r="M61" s="1657"/>
      <c r="N61" s="1657"/>
      <c r="O61" s="1471"/>
      <c r="P61" s="352"/>
    </row>
    <row r="62" spans="1:16" ht="9.9499999999999993" customHeight="1">
      <c r="A62" s="353"/>
      <c r="B62" s="1472"/>
      <c r="C62" s="1473"/>
      <c r="D62" s="1468"/>
      <c r="E62" s="1468"/>
      <c r="F62" s="1468"/>
      <c r="G62" s="1468"/>
      <c r="H62" s="1468"/>
      <c r="I62" s="1468"/>
      <c r="J62" s="1468"/>
      <c r="K62" s="1468"/>
      <c r="L62" s="1468"/>
      <c r="M62" s="1468"/>
      <c r="N62" s="1468"/>
      <c r="O62" s="1471"/>
      <c r="P62" s="352"/>
    </row>
    <row r="63" spans="1:16" ht="9.9499999999999993" customHeight="1">
      <c r="A63" s="353"/>
      <c r="B63" s="1472"/>
      <c r="C63" s="1473"/>
      <c r="D63" s="1468"/>
      <c r="E63" s="1468"/>
      <c r="F63" s="1468"/>
      <c r="G63" s="1468"/>
      <c r="H63" s="1468"/>
      <c r="I63" s="1468"/>
      <c r="J63" s="1468"/>
      <c r="K63" s="1468"/>
      <c r="L63" s="1468"/>
      <c r="M63" s="1468"/>
      <c r="N63" s="1468"/>
      <c r="O63" s="1471"/>
      <c r="P63" s="352"/>
    </row>
    <row r="64" spans="1:16" ht="9.9499999999999993" customHeight="1">
      <c r="A64" s="353"/>
      <c r="B64" s="1472"/>
      <c r="C64" s="1474"/>
      <c r="D64" s="1475"/>
      <c r="E64" s="1475"/>
      <c r="F64" s="1475"/>
      <c r="G64" s="1476"/>
      <c r="H64" s="1477"/>
      <c r="I64" s="1477"/>
      <c r="J64" s="1475"/>
      <c r="K64" s="1475"/>
      <c r="L64" s="1475"/>
      <c r="M64" s="1475"/>
      <c r="N64" s="1475"/>
      <c r="O64" s="1471"/>
      <c r="P64" s="344"/>
    </row>
    <row r="65" spans="1:16" ht="9.9499999999999993" customHeight="1">
      <c r="A65" s="353"/>
      <c r="B65" s="1472"/>
      <c r="C65" s="1475"/>
      <c r="D65" s="1475"/>
      <c r="E65" s="1475"/>
      <c r="F65" s="1475"/>
      <c r="G65" s="1477"/>
      <c r="H65" s="1477"/>
      <c r="I65" s="1477"/>
      <c r="J65" s="1475"/>
      <c r="K65" s="1475"/>
      <c r="L65" s="1475"/>
      <c r="M65" s="1475"/>
      <c r="N65" s="1475"/>
      <c r="O65" s="1471"/>
      <c r="P65" s="344"/>
    </row>
    <row r="66" spans="1:16" ht="9.9499999999999993" customHeight="1">
      <c r="A66" s="353"/>
      <c r="B66" s="1467"/>
      <c r="C66" s="1468"/>
      <c r="D66" s="1468"/>
      <c r="E66" s="1468"/>
      <c r="F66" s="1468"/>
      <c r="G66" s="1468"/>
      <c r="H66" s="1468"/>
      <c r="I66" s="1468"/>
      <c r="J66" s="1468"/>
      <c r="K66" s="1468"/>
      <c r="L66" s="1468"/>
      <c r="M66" s="1468"/>
      <c r="N66" s="1468"/>
      <c r="O66" s="1469"/>
      <c r="P66" s="344"/>
    </row>
    <row r="67" spans="1:16" ht="9.9499999999999993" customHeight="1">
      <c r="A67" s="353"/>
      <c r="B67" s="1467"/>
      <c r="C67" s="1468"/>
      <c r="D67" s="1468"/>
      <c r="E67" s="1468"/>
      <c r="F67" s="1468"/>
      <c r="G67" s="1468"/>
      <c r="H67" s="1468"/>
      <c r="I67" s="1468"/>
      <c r="J67" s="1468"/>
      <c r="K67" s="1468"/>
      <c r="L67" s="1468"/>
      <c r="M67" s="1468"/>
      <c r="N67" s="1468"/>
      <c r="O67" s="1469"/>
      <c r="P67" s="344"/>
    </row>
    <row r="68" spans="1:16" ht="12" customHeight="1">
      <c r="A68" s="353"/>
      <c r="B68" s="1467"/>
      <c r="C68" s="1468"/>
      <c r="D68" s="1468"/>
      <c r="E68" s="1468"/>
      <c r="F68" s="1468"/>
      <c r="G68" s="1468"/>
      <c r="H68" s="1468"/>
      <c r="I68" s="1468"/>
      <c r="J68" s="1468"/>
      <c r="K68" s="1468"/>
      <c r="L68" s="1468"/>
      <c r="M68" s="1468"/>
      <c r="N68" s="1468"/>
      <c r="O68" s="1469"/>
      <c r="P68" s="344"/>
    </row>
    <row r="69" spans="1:16" ht="12" customHeight="1">
      <c r="A69" s="354"/>
      <c r="B69" s="1467"/>
      <c r="C69" s="1468"/>
      <c r="D69" s="1468"/>
      <c r="E69" s="1468"/>
      <c r="F69" s="1468"/>
      <c r="G69" s="1468"/>
      <c r="H69" s="1468"/>
      <c r="I69" s="1468"/>
      <c r="J69" s="1468"/>
      <c r="K69" s="1468"/>
      <c r="L69" s="1468"/>
      <c r="M69" s="1468"/>
      <c r="N69" s="1468"/>
      <c r="O69" s="1469"/>
      <c r="P69" s="346"/>
    </row>
    <row r="70" spans="1:16" ht="9.9499999999999993" customHeight="1">
      <c r="A70" s="347"/>
      <c r="B70" s="1467"/>
      <c r="C70" s="1468"/>
      <c r="D70" s="1468"/>
      <c r="E70" s="1468"/>
      <c r="F70" s="1468"/>
      <c r="G70" s="1468"/>
      <c r="H70" s="1468"/>
      <c r="I70" s="1468"/>
      <c r="J70" s="1468"/>
      <c r="K70" s="1468"/>
      <c r="L70" s="1468"/>
      <c r="M70" s="1468"/>
      <c r="N70" s="1468"/>
      <c r="O70" s="1469"/>
      <c r="P70" s="347"/>
    </row>
    <row r="71" spans="1:16" ht="89.25" customHeight="1">
      <c r="A71" s="347"/>
      <c r="B71" s="1467"/>
      <c r="C71" s="1468"/>
      <c r="D71" s="1468"/>
      <c r="E71" s="1468"/>
      <c r="F71" s="1468"/>
      <c r="G71" s="1468"/>
      <c r="H71" s="1468"/>
      <c r="I71" s="1468"/>
      <c r="J71" s="1468"/>
      <c r="K71" s="1468"/>
      <c r="L71" s="1468"/>
      <c r="M71" s="1468"/>
      <c r="N71" s="1468"/>
      <c r="O71" s="1469"/>
      <c r="P71" s="347"/>
    </row>
    <row r="72" spans="1:16" ht="6.6" customHeight="1">
      <c r="B72" s="1658" t="s">
        <v>178</v>
      </c>
      <c r="C72" s="1659"/>
      <c r="D72" s="1659"/>
      <c r="E72" s="1659"/>
      <c r="F72" s="1659"/>
      <c r="G72" s="1659"/>
      <c r="H72" s="1659"/>
      <c r="I72" s="1659"/>
      <c r="J72" s="1659"/>
      <c r="K72" s="1659"/>
      <c r="L72" s="1659"/>
      <c r="M72" s="1659"/>
      <c r="N72" s="1659"/>
      <c r="O72" s="1660"/>
    </row>
    <row r="73" spans="1:16">
      <c r="B73" s="1661"/>
      <c r="C73" s="1662"/>
      <c r="D73" s="1662"/>
      <c r="E73" s="1662"/>
      <c r="F73" s="1662"/>
      <c r="G73" s="1662"/>
      <c r="H73" s="1662"/>
      <c r="I73" s="1662"/>
      <c r="J73" s="1662"/>
      <c r="K73" s="1662"/>
      <c r="L73" s="1662"/>
      <c r="M73" s="1662"/>
      <c r="N73" s="1662"/>
      <c r="O73" s="1663"/>
    </row>
    <row r="74" spans="1:16">
      <c r="B74" s="1668" t="s">
        <v>179</v>
      </c>
      <c r="C74" s="1669"/>
      <c r="D74" s="1669"/>
      <c r="E74" s="1669"/>
      <c r="F74" s="1669"/>
      <c r="G74" s="1669"/>
      <c r="H74" s="1669"/>
      <c r="I74" s="1669"/>
      <c r="J74" s="1669"/>
      <c r="K74" s="1669"/>
      <c r="L74" s="1669"/>
      <c r="M74" s="1669"/>
      <c r="N74" s="1669"/>
      <c r="O74" s="1670"/>
    </row>
    <row r="75" spans="1:16" ht="9.9499999999999993" customHeight="1">
      <c r="B75" s="1671" t="s">
        <v>180</v>
      </c>
      <c r="C75" s="1651"/>
      <c r="D75" s="1651"/>
      <c r="E75" s="1651"/>
      <c r="F75" s="1651"/>
      <c r="G75" s="1651"/>
      <c r="H75" s="1651"/>
      <c r="I75" s="1651"/>
      <c r="J75" s="1651"/>
      <c r="K75" s="1651"/>
      <c r="L75" s="1651"/>
      <c r="M75" s="1651"/>
      <c r="N75" s="1651"/>
      <c r="O75" s="1672"/>
    </row>
    <row r="76" spans="1:16" ht="13.5" customHeight="1">
      <c r="B76" s="1636" t="s">
        <v>181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8"/>
    </row>
    <row r="77" spans="1:16">
      <c r="B77" s="1639"/>
      <c r="C77" s="1640"/>
      <c r="D77" s="1640"/>
      <c r="E77" s="1640"/>
      <c r="F77" s="1640"/>
      <c r="G77" s="1640"/>
      <c r="H77" s="1640"/>
      <c r="I77" s="1640"/>
      <c r="J77" s="1640"/>
      <c r="K77" s="1640"/>
      <c r="L77" s="1640"/>
      <c r="M77" s="1640"/>
      <c r="N77" s="1640"/>
      <c r="O77" s="1641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39" zoomScaleNormal="100" zoomScaleSheetLayoutView="100" workbookViewId="0">
      <selection activeCell="U71" sqref="U71"/>
    </sheetView>
  </sheetViews>
  <sheetFormatPr defaultColWidth="9.140625" defaultRowHeight="15"/>
  <cols>
    <col min="1" max="1" width="3.5703125" style="937" customWidth="1"/>
    <col min="2" max="2" width="21.140625" style="936" customWidth="1"/>
    <col min="3" max="4" width="13.7109375" style="936" customWidth="1"/>
    <col min="5" max="5" width="13.85546875" style="936" customWidth="1"/>
    <col min="6" max="6" width="12.140625" style="936" customWidth="1"/>
    <col min="7" max="7" width="15.85546875" style="936" customWidth="1"/>
    <col min="8" max="9" width="13.7109375" style="936" customWidth="1"/>
    <col min="10" max="10" width="15.140625" style="936" customWidth="1"/>
    <col min="11" max="11" width="11.42578125" style="936" customWidth="1"/>
    <col min="12" max="14" width="13.7109375" style="936" customWidth="1"/>
    <col min="15" max="15" width="3.140625" customWidth="1"/>
    <col min="16" max="16" width="9.140625" style="935"/>
    <col min="17" max="17" width="17.85546875" style="935" bestFit="1" customWidth="1"/>
    <col min="18" max="18" width="25.28515625" style="935" customWidth="1"/>
    <col min="19" max="19" width="21" style="935" bestFit="1" customWidth="1"/>
    <col min="20" max="16384" width="9.140625" style="935"/>
  </cols>
  <sheetData>
    <row r="1" spans="1:19" s="936" customFormat="1" ht="15.75" thickBot="1">
      <c r="A1" s="1148"/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/>
    </row>
    <row r="2" spans="1:19" s="936" customFormat="1">
      <c r="A2" s="1148"/>
      <c r="B2" s="944"/>
      <c r="C2" s="944"/>
      <c r="D2" s="944"/>
      <c r="E2" s="944"/>
      <c r="F2" s="944"/>
      <c r="G2" s="944"/>
      <c r="H2" s="944"/>
      <c r="I2" s="944"/>
      <c r="J2" s="980"/>
      <c r="K2" s="1846" t="s">
        <v>329</v>
      </c>
      <c r="L2" s="1846"/>
      <c r="M2" s="1840">
        <f ca="1">NOW()</f>
        <v>46223.360261689813</v>
      </c>
      <c r="N2" s="1840"/>
      <c r="O2" s="1465"/>
    </row>
    <row r="3" spans="1:19" s="936" customFormat="1">
      <c r="A3" s="1082"/>
      <c r="B3" s="941"/>
      <c r="C3" s="941"/>
      <c r="D3" s="941"/>
      <c r="E3" s="941"/>
      <c r="F3" s="941"/>
      <c r="G3" s="941"/>
      <c r="H3" s="941"/>
      <c r="I3" s="941"/>
      <c r="K3" s="941"/>
      <c r="L3" s="937"/>
      <c r="M3" s="1746" t="s">
        <v>601</v>
      </c>
      <c r="N3" s="1746"/>
      <c r="O3" s="1327"/>
    </row>
    <row r="4" spans="1:19" s="936" customFormat="1">
      <c r="A4" s="1082"/>
      <c r="B4" s="941"/>
      <c r="C4" s="941"/>
      <c r="D4" s="941"/>
      <c r="E4" s="941"/>
      <c r="F4" s="941"/>
      <c r="G4" s="941"/>
      <c r="H4" s="941"/>
      <c r="I4" s="941"/>
      <c r="K4" s="941"/>
      <c r="L4" s="941"/>
      <c r="M4" s="937"/>
      <c r="N4" s="937"/>
      <c r="O4" s="1327"/>
    </row>
    <row r="5" spans="1:19" s="936" customFormat="1">
      <c r="A5" s="1082"/>
      <c r="B5" s="941"/>
      <c r="C5" s="941"/>
      <c r="D5" s="941"/>
      <c r="E5" s="941"/>
      <c r="F5" s="941"/>
      <c r="G5" s="941"/>
      <c r="H5" s="941"/>
      <c r="I5" s="941"/>
      <c r="K5" s="941"/>
      <c r="L5" s="941"/>
      <c r="N5" s="1301" t="s">
        <v>171</v>
      </c>
      <c r="O5" s="1327"/>
    </row>
    <row r="6" spans="1:19" s="936" customFormat="1">
      <c r="A6" s="1082"/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1"/>
      <c r="O6" s="1327"/>
    </row>
    <row r="7" spans="1:19" s="936" customFormat="1">
      <c r="A7" s="1082"/>
      <c r="B7" s="941"/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941"/>
      <c r="O7" s="1327"/>
    </row>
    <row r="8" spans="1:19" s="936" customFormat="1">
      <c r="A8" s="1082"/>
      <c r="B8" s="941"/>
      <c r="C8" s="941"/>
      <c r="D8" s="941"/>
      <c r="E8" s="941"/>
      <c r="F8" s="941"/>
      <c r="G8" s="941"/>
      <c r="H8" s="941"/>
      <c r="I8" s="941"/>
      <c r="J8" s="941"/>
      <c r="K8" s="941"/>
      <c r="L8" s="941"/>
      <c r="M8" s="941"/>
      <c r="N8" s="941"/>
      <c r="O8" s="1327"/>
    </row>
    <row r="9" spans="1:19" s="936" customFormat="1" ht="15.75" thickBot="1">
      <c r="A9" s="1082"/>
      <c r="B9" s="941"/>
      <c r="C9" s="941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1"/>
      <c r="O9" s="1327"/>
    </row>
    <row r="10" spans="1:19" s="936" customFormat="1" ht="14.25" customHeight="1" thickBot="1">
      <c r="A10" s="1748" t="s">
        <v>615</v>
      </c>
      <c r="B10" s="1749"/>
      <c r="C10" s="1749"/>
      <c r="D10" s="1749"/>
      <c r="E10" s="1749"/>
      <c r="F10" s="1749"/>
      <c r="G10" s="1749"/>
      <c r="H10" s="1749"/>
      <c r="I10" s="1749"/>
      <c r="J10" s="1749"/>
      <c r="K10" s="1749"/>
      <c r="L10" s="1749"/>
      <c r="M10" s="1749"/>
      <c r="N10" s="1749"/>
      <c r="O10" s="1750"/>
      <c r="Q10" s="1451" t="s">
        <v>315</v>
      </c>
      <c r="R10" s="1452"/>
      <c r="S10" s="1429">
        <v>46223.360254629632</v>
      </c>
    </row>
    <row r="11" spans="1:19" s="936" customFormat="1" ht="15" customHeight="1" thickBot="1">
      <c r="A11" s="1751"/>
      <c r="B11" s="1752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2"/>
      <c r="O11" s="1753"/>
      <c r="Q11" s="1453"/>
      <c r="R11" s="1"/>
      <c r="S11" s="1454"/>
    </row>
    <row r="12" spans="1:19" s="936" customFormat="1" ht="15.75" thickBot="1">
      <c r="A12" s="1082"/>
      <c r="B12" s="941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1327"/>
      <c r="Q12" s="1455" t="s">
        <v>195</v>
      </c>
      <c r="R12" s="1300" t="s">
        <v>196</v>
      </c>
      <c r="S12" s="1456" t="s">
        <v>197</v>
      </c>
    </row>
    <row r="13" spans="1:19" s="936" customFormat="1" ht="15.75" thickBot="1">
      <c r="A13" s="1082"/>
      <c r="B13" s="1849" t="s">
        <v>211</v>
      </c>
      <c r="C13" s="1848" t="s">
        <v>613</v>
      </c>
      <c r="D13" s="1766"/>
      <c r="E13" s="1767"/>
      <c r="G13" s="1765" t="s">
        <v>211</v>
      </c>
      <c r="H13" s="1848" t="s">
        <v>612</v>
      </c>
      <c r="I13" s="1766"/>
      <c r="J13" s="1767"/>
      <c r="K13"/>
      <c r="L13" s="1081" t="s">
        <v>614</v>
      </c>
      <c r="M13" s="1"/>
      <c r="N13" s="1"/>
      <c r="O13" s="1327"/>
      <c r="Q13" s="1453"/>
      <c r="R13" s="1"/>
      <c r="S13" s="1454"/>
    </row>
    <row r="14" spans="1:19" s="936" customFormat="1" ht="15.75" thickBot="1">
      <c r="A14" s="1082"/>
      <c r="B14" s="1850"/>
      <c r="C14" s="1184" t="s">
        <v>13</v>
      </c>
      <c r="D14" s="1053" t="s">
        <v>87</v>
      </c>
      <c r="E14" s="1183" t="s">
        <v>611</v>
      </c>
      <c r="G14" s="1847"/>
      <c r="H14" s="1182" t="s">
        <v>13</v>
      </c>
      <c r="I14" s="1181" t="s">
        <v>87</v>
      </c>
      <c r="J14" s="1180" t="s">
        <v>611</v>
      </c>
      <c r="K14"/>
      <c r="L14" s="1729" t="s">
        <v>6</v>
      </c>
      <c r="M14" s="1730"/>
      <c r="N14" s="1135">
        <v>102</v>
      </c>
      <c r="O14" s="1327"/>
      <c r="Q14" s="1457" t="s">
        <v>198</v>
      </c>
      <c r="R14" s="431" t="s">
        <v>192</v>
      </c>
      <c r="S14" s="1434"/>
    </row>
    <row r="15" spans="1:19" s="936" customFormat="1">
      <c r="A15" s="1082"/>
      <c r="B15" s="1176">
        <f>margins!S5</f>
        <v>5.75</v>
      </c>
      <c r="C15" s="1179">
        <v>96.257000000000005</v>
      </c>
      <c r="D15" s="1178">
        <v>96.407000000000011</v>
      </c>
      <c r="E15" s="1177">
        <v>96.407000000000011</v>
      </c>
      <c r="F15" s="1530"/>
      <c r="G15" s="1176">
        <f>B15</f>
        <v>5.75</v>
      </c>
      <c r="H15" s="1179">
        <v>96.257000000000005</v>
      </c>
      <c r="I15" s="1178">
        <v>96.407000000000011</v>
      </c>
      <c r="J15" s="1177">
        <v>96.407000000000011</v>
      </c>
      <c r="K15" s="64"/>
      <c r="L15" s="1844" t="s">
        <v>642</v>
      </c>
      <c r="M15" s="1845"/>
      <c r="N15" s="1131">
        <v>100.5</v>
      </c>
      <c r="O15" s="1327"/>
      <c r="Q15" s="1458" t="s">
        <v>5</v>
      </c>
      <c r="R15" s="582" t="s">
        <v>321</v>
      </c>
      <c r="S15" s="1437"/>
    </row>
    <row r="16" spans="1:19" s="936" customFormat="1">
      <c r="A16" s="1082"/>
      <c r="B16" s="1121">
        <f>margins!S6</f>
        <v>5.875</v>
      </c>
      <c r="C16" s="1179">
        <v>97.007000000000005</v>
      </c>
      <c r="D16" s="1178">
        <v>97.157000000000011</v>
      </c>
      <c r="E16" s="1177">
        <v>97.157000000000011</v>
      </c>
      <c r="F16" s="1530"/>
      <c r="G16" s="1121">
        <f>B16</f>
        <v>5.875</v>
      </c>
      <c r="H16" s="1179">
        <v>97.007000000000005</v>
      </c>
      <c r="I16" s="1178">
        <v>97.157000000000011</v>
      </c>
      <c r="J16" s="1177">
        <v>97.157000000000011</v>
      </c>
      <c r="K16" s="64"/>
      <c r="L16" s="1844" t="s">
        <v>610</v>
      </c>
      <c r="M16" s="1845"/>
      <c r="N16" s="1131">
        <v>0</v>
      </c>
      <c r="O16" s="1327"/>
      <c r="Q16" s="1458" t="s">
        <v>199</v>
      </c>
      <c r="R16" s="432">
        <v>7.5</v>
      </c>
      <c r="S16" s="1437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104.18700000000001</v>
      </c>
    </row>
    <row r="17" spans="1:19" s="936" customFormat="1" ht="15.75" thickBot="1">
      <c r="A17" s="1082"/>
      <c r="B17" s="1121">
        <f>margins!S7</f>
        <v>6</v>
      </c>
      <c r="C17" s="1179">
        <v>97.757000000000005</v>
      </c>
      <c r="D17" s="1178">
        <v>97.907000000000011</v>
      </c>
      <c r="E17" s="1177">
        <v>97.907000000000011</v>
      </c>
      <c r="F17" s="1530"/>
      <c r="G17" s="1121">
        <f t="shared" ref="G17:G39" si="0">B17</f>
        <v>6</v>
      </c>
      <c r="H17" s="1179">
        <v>97.757000000000005</v>
      </c>
      <c r="I17" s="1178">
        <v>97.907000000000011</v>
      </c>
      <c r="J17" s="1177">
        <v>97.907000000000011</v>
      </c>
      <c r="K17" s="64"/>
      <c r="L17" s="1744" t="s">
        <v>597</v>
      </c>
      <c r="M17" s="1843"/>
      <c r="N17" s="1137">
        <v>-0.375</v>
      </c>
      <c r="O17" s="1327"/>
      <c r="Q17" s="1435" t="s">
        <v>353</v>
      </c>
      <c r="R17" s="432" t="s">
        <v>17</v>
      </c>
      <c r="S17" s="1437"/>
    </row>
    <row r="18" spans="1:19" s="936" customFormat="1">
      <c r="A18" s="1082"/>
      <c r="B18" s="1121">
        <f>margins!S8</f>
        <v>6.125</v>
      </c>
      <c r="C18" s="1179">
        <v>98.507000000000005</v>
      </c>
      <c r="D18" s="1178">
        <v>98.657000000000011</v>
      </c>
      <c r="E18" s="1177">
        <v>98.657000000000011</v>
      </c>
      <c r="F18" s="1530"/>
      <c r="G18" s="1121">
        <f t="shared" si="0"/>
        <v>6.125</v>
      </c>
      <c r="H18" s="1179">
        <v>98.507000000000005</v>
      </c>
      <c r="I18" s="1178">
        <v>98.657000000000011</v>
      </c>
      <c r="J18" s="1177">
        <v>98.657000000000011</v>
      </c>
      <c r="K18" s="64"/>
      <c r="O18" s="1327"/>
      <c r="Q18" s="1458" t="s">
        <v>200</v>
      </c>
      <c r="R18" s="432" t="s">
        <v>36</v>
      </c>
      <c r="S18" s="1437"/>
    </row>
    <row r="19" spans="1:19" s="936" customFormat="1" ht="15.75" thickBot="1">
      <c r="A19" s="1082"/>
      <c r="B19" s="1121">
        <f>margins!S9</f>
        <v>6.25</v>
      </c>
      <c r="C19" s="1179">
        <v>99.275000000000006</v>
      </c>
      <c r="D19" s="1178">
        <v>99.425000000000011</v>
      </c>
      <c r="E19" s="1177">
        <v>99.425000000000011</v>
      </c>
      <c r="F19" s="1530"/>
      <c r="G19" s="1121">
        <f t="shared" si="0"/>
        <v>6.25</v>
      </c>
      <c r="H19" s="1179">
        <v>99.275000000000006</v>
      </c>
      <c r="I19" s="1178">
        <v>99.425000000000011</v>
      </c>
      <c r="J19" s="1177">
        <v>99.425000000000011</v>
      </c>
      <c r="K19" s="64"/>
      <c r="L19" s="1081" t="s">
        <v>595</v>
      </c>
      <c r="O19" s="1327"/>
      <c r="Q19" s="1458" t="s">
        <v>310</v>
      </c>
      <c r="R19" s="582" t="s">
        <v>191</v>
      </c>
      <c r="S19" s="1437">
        <f>IF(R19="Full Doc - 2 Years",INDEX($E$55:$M$63,MATCH(R18,C55:C63,0),MATCH(R17,$E$54:$M$54,0),1),0)</f>
        <v>0</v>
      </c>
    </row>
    <row r="20" spans="1:19" s="936" customFormat="1">
      <c r="A20" s="1082"/>
      <c r="B20" s="1121">
        <f>margins!S10</f>
        <v>6.375</v>
      </c>
      <c r="C20" s="1179">
        <v>99.9</v>
      </c>
      <c r="D20" s="1178">
        <v>100.05000000000001</v>
      </c>
      <c r="E20" s="1177">
        <v>100.05000000000001</v>
      </c>
      <c r="F20" s="1530"/>
      <c r="G20" s="1121">
        <f t="shared" si="0"/>
        <v>6.375</v>
      </c>
      <c r="H20" s="1179">
        <v>99.9</v>
      </c>
      <c r="I20" s="1178">
        <v>100.05000000000001</v>
      </c>
      <c r="J20" s="1177">
        <v>100.05000000000001</v>
      </c>
      <c r="K20" s="64"/>
      <c r="L20" s="1136" t="s">
        <v>239</v>
      </c>
      <c r="M20" s="1768" t="s">
        <v>593</v>
      </c>
      <c r="N20" s="1769"/>
      <c r="O20" s="1327"/>
      <c r="Q20" s="1458" t="s">
        <v>311</v>
      </c>
      <c r="R20" s="1297" t="s">
        <v>191</v>
      </c>
      <c r="S20" s="1437">
        <f>IF(R20="Full Doc - 1 Year",INDEX($E$64:$M$64,1,MATCH(R17,$E$54:$M$54,0),1),0)</f>
        <v>0</v>
      </c>
    </row>
    <row r="21" spans="1:19" s="936" customFormat="1">
      <c r="A21" s="1082"/>
      <c r="B21" s="1121">
        <f>margins!S11</f>
        <v>6.5</v>
      </c>
      <c r="C21" s="1179">
        <v>100.46300000000001</v>
      </c>
      <c r="D21" s="1178">
        <v>100.613</v>
      </c>
      <c r="E21" s="1177">
        <v>100.613</v>
      </c>
      <c r="F21" s="1530"/>
      <c r="G21" s="1121">
        <f t="shared" si="0"/>
        <v>6.5</v>
      </c>
      <c r="H21" s="1179">
        <v>100.46300000000001</v>
      </c>
      <c r="I21" s="1178">
        <v>100.613</v>
      </c>
      <c r="J21" s="1177">
        <v>100.613</v>
      </c>
      <c r="K21" s="64"/>
      <c r="L21" s="1132" t="s">
        <v>210</v>
      </c>
      <c r="M21" s="1739">
        <v>5</v>
      </c>
      <c r="N21" s="1740"/>
      <c r="O21" s="1327"/>
      <c r="Q21" s="1458" t="s">
        <v>5</v>
      </c>
      <c r="R21" s="432" t="s">
        <v>191</v>
      </c>
      <c r="S21" s="1437">
        <f>IF(R21="Choose a Selection",0,(INDEX($E$68:$M$76,MATCH($R$18,C68:C76,0),MATCH($R$17,$E$67:$M$67,0),1)))</f>
        <v>0</v>
      </c>
    </row>
    <row r="22" spans="1:19" s="936" customFormat="1">
      <c r="A22" s="1082"/>
      <c r="B22" s="1121">
        <f>margins!S12</f>
        <v>6.625</v>
      </c>
      <c r="C22" s="1179">
        <v>101.02500000000001</v>
      </c>
      <c r="D22" s="1178">
        <v>101.17500000000001</v>
      </c>
      <c r="E22" s="1177">
        <v>101.17500000000001</v>
      </c>
      <c r="F22" s="1530"/>
      <c r="G22" s="1121">
        <f t="shared" si="0"/>
        <v>6.625</v>
      </c>
      <c r="H22" s="1179">
        <v>101.02500000000001</v>
      </c>
      <c r="I22" s="1178">
        <v>101.17500000000001</v>
      </c>
      <c r="J22" s="1177">
        <v>101.17500000000001</v>
      </c>
      <c r="K22" s="64"/>
      <c r="L22" s="1132" t="s">
        <v>592</v>
      </c>
      <c r="M22" s="1739" t="s">
        <v>591</v>
      </c>
      <c r="N22" s="1740"/>
      <c r="O22" s="1327"/>
      <c r="Q22" s="1458" t="s">
        <v>313</v>
      </c>
      <c r="R22" s="432" t="s">
        <v>191</v>
      </c>
      <c r="S22" s="1437">
        <f>IF(R22="Choose a Selection",0,(INDEX($E$68:$M$81,MATCH(R22,C68:C81,0),MATCH($R$17,$E$67:$M$67,0),1)))</f>
        <v>0</v>
      </c>
    </row>
    <row r="23" spans="1:19" s="936" customFormat="1" ht="14.25" customHeight="1" thickBot="1">
      <c r="A23" s="1082"/>
      <c r="B23" s="1121">
        <f>margins!S13</f>
        <v>6.75</v>
      </c>
      <c r="C23" s="1179">
        <v>101.55600000000001</v>
      </c>
      <c r="D23" s="1178">
        <v>101.706</v>
      </c>
      <c r="E23" s="1177">
        <v>101.706</v>
      </c>
      <c r="F23" s="1530"/>
      <c r="G23" s="1121">
        <f t="shared" si="0"/>
        <v>6.75</v>
      </c>
      <c r="H23" s="1179">
        <v>101.55600000000001</v>
      </c>
      <c r="I23" s="1178">
        <v>101.706</v>
      </c>
      <c r="J23" s="1177">
        <v>101.706</v>
      </c>
      <c r="K23" s="64"/>
      <c r="L23" s="1352" t="s">
        <v>590</v>
      </c>
      <c r="M23" s="1841" t="s">
        <v>235</v>
      </c>
      <c r="N23" s="1842"/>
      <c r="O23" s="1327"/>
      <c r="Q23" s="1458" t="s">
        <v>71</v>
      </c>
      <c r="R23" s="432" t="s">
        <v>191</v>
      </c>
      <c r="S23" s="1437">
        <f t="shared" ref="S23:S31" si="1">IF(R23="Choose a Selection",0,(INDEX($E$85:$M$115,MATCH(R23,$C$85:$C$115,0),MATCH($R$17,$E$84:$M$84,0),1)))</f>
        <v>0</v>
      </c>
    </row>
    <row r="24" spans="1:19" s="936" customFormat="1">
      <c r="A24" s="1082"/>
      <c r="B24" s="1121">
        <f>margins!S14</f>
        <v>6.875</v>
      </c>
      <c r="C24" s="1179">
        <v>102.05600000000001</v>
      </c>
      <c r="D24" s="1178">
        <v>102.206</v>
      </c>
      <c r="E24" s="1177">
        <v>102.206</v>
      </c>
      <c r="F24" s="1530"/>
      <c r="G24" s="1121">
        <f t="shared" si="0"/>
        <v>6.875</v>
      </c>
      <c r="H24" s="1179">
        <v>102.05600000000001</v>
      </c>
      <c r="I24" s="1178">
        <v>102.206</v>
      </c>
      <c r="J24" s="1177">
        <v>102.206</v>
      </c>
      <c r="K24" s="64"/>
      <c r="L24"/>
      <c r="M24"/>
      <c r="N24"/>
      <c r="O24" s="1327"/>
      <c r="Q24" s="1458" t="s">
        <v>316</v>
      </c>
      <c r="R24" s="432" t="s">
        <v>191</v>
      </c>
      <c r="S24" s="1437">
        <f t="shared" si="1"/>
        <v>0</v>
      </c>
    </row>
    <row r="25" spans="1:19" s="936" customFormat="1" ht="14.25" customHeight="1" thickBot="1">
      <c r="A25" s="1082"/>
      <c r="B25" s="1121">
        <f>margins!S15</f>
        <v>7</v>
      </c>
      <c r="C25" s="1179">
        <v>102.625</v>
      </c>
      <c r="D25" s="1178">
        <v>102.77500000000001</v>
      </c>
      <c r="E25" s="1177">
        <v>102.77500000000001</v>
      </c>
      <c r="F25" s="1530"/>
      <c r="G25" s="1121">
        <f t="shared" si="0"/>
        <v>7</v>
      </c>
      <c r="H25" s="1179">
        <v>102.625</v>
      </c>
      <c r="I25" s="1178">
        <v>102.77500000000001</v>
      </c>
      <c r="J25" s="1177">
        <v>102.77500000000001</v>
      </c>
      <c r="K25" s="64"/>
      <c r="L25" s="1081" t="s">
        <v>609</v>
      </c>
      <c r="O25" s="1327"/>
      <c r="Q25" s="1458" t="s">
        <v>45</v>
      </c>
      <c r="R25" s="432" t="s">
        <v>191</v>
      </c>
      <c r="S25" s="1437">
        <f t="shared" si="1"/>
        <v>0</v>
      </c>
    </row>
    <row r="26" spans="1:19" s="936" customFormat="1" ht="15.75" thickBot="1">
      <c r="A26" s="1082"/>
      <c r="B26" s="1121">
        <f>margins!S16</f>
        <v>7.125</v>
      </c>
      <c r="C26" s="1179">
        <v>103.093</v>
      </c>
      <c r="D26" s="1178">
        <v>103.24300000000001</v>
      </c>
      <c r="E26" s="1177">
        <v>103.24300000000001</v>
      </c>
      <c r="F26" s="1530"/>
      <c r="G26" s="1121">
        <f t="shared" si="0"/>
        <v>7.125</v>
      </c>
      <c r="H26" s="1179">
        <v>103.093</v>
      </c>
      <c r="I26" s="1178">
        <v>103.24300000000001</v>
      </c>
      <c r="J26" s="1177">
        <v>103.24300000000001</v>
      </c>
      <c r="K26" s="64"/>
      <c r="L26" s="1275" t="s">
        <v>94</v>
      </c>
      <c r="M26" s="1418" t="s">
        <v>608</v>
      </c>
      <c r="N26" s="1419" t="s">
        <v>6</v>
      </c>
      <c r="O26" s="1327"/>
      <c r="Q26" s="1458" t="s">
        <v>47</v>
      </c>
      <c r="R26" s="432" t="s">
        <v>191</v>
      </c>
      <c r="S26" s="1437">
        <f t="shared" si="1"/>
        <v>0</v>
      </c>
    </row>
    <row r="27" spans="1:19" s="936" customFormat="1" ht="14.25" customHeight="1">
      <c r="A27" s="1082"/>
      <c r="B27" s="1121">
        <f>margins!S17</f>
        <v>7.25</v>
      </c>
      <c r="C27" s="1179">
        <v>103.468</v>
      </c>
      <c r="D27" s="1178">
        <v>103.61800000000001</v>
      </c>
      <c r="E27" s="1177">
        <v>103.61800000000001</v>
      </c>
      <c r="F27" s="1530"/>
      <c r="G27" s="1121">
        <f t="shared" si="0"/>
        <v>7.25</v>
      </c>
      <c r="H27" s="1179">
        <v>103.468</v>
      </c>
      <c r="I27" s="1178">
        <v>103.61800000000001</v>
      </c>
      <c r="J27" s="1177">
        <v>103.61800000000001</v>
      </c>
      <c r="K27" s="64"/>
      <c r="L27" s="1273" t="s">
        <v>95</v>
      </c>
      <c r="M27" s="1415">
        <v>0.5</v>
      </c>
      <c r="N27" s="1380">
        <v>102</v>
      </c>
      <c r="O27" s="1327"/>
      <c r="Q27" s="1458" t="s">
        <v>56</v>
      </c>
      <c r="R27" s="432" t="s">
        <v>191</v>
      </c>
      <c r="S27" s="1437">
        <f t="shared" si="1"/>
        <v>0</v>
      </c>
    </row>
    <row r="28" spans="1:19" s="936" customFormat="1">
      <c r="A28" s="1082"/>
      <c r="B28" s="1121">
        <f>margins!S18</f>
        <v>7.375</v>
      </c>
      <c r="C28" s="1179">
        <v>103.843</v>
      </c>
      <c r="D28" s="1178">
        <v>103.99300000000001</v>
      </c>
      <c r="E28" s="1177">
        <v>103.99300000000001</v>
      </c>
      <c r="F28" s="1530"/>
      <c r="G28" s="1121">
        <f t="shared" si="0"/>
        <v>7.375</v>
      </c>
      <c r="H28" s="1179">
        <v>103.843</v>
      </c>
      <c r="I28" s="1178">
        <v>103.99300000000001</v>
      </c>
      <c r="J28" s="1177">
        <v>103.99300000000001</v>
      </c>
      <c r="K28" s="64"/>
      <c r="L28" s="1273" t="s">
        <v>96</v>
      </c>
      <c r="M28" s="1416">
        <v>0.25</v>
      </c>
      <c r="N28" s="1134">
        <v>102</v>
      </c>
      <c r="O28" s="1327"/>
      <c r="Q28" s="1458" t="s">
        <v>60</v>
      </c>
      <c r="R28" s="582" t="s">
        <v>191</v>
      </c>
      <c r="S28" s="1437">
        <f t="shared" si="1"/>
        <v>0</v>
      </c>
    </row>
    <row r="29" spans="1:19" s="936" customFormat="1">
      <c r="A29" s="1082"/>
      <c r="B29" s="1121">
        <f>margins!S19</f>
        <v>7.5</v>
      </c>
      <c r="C29" s="1179">
        <v>104.18700000000001</v>
      </c>
      <c r="D29" s="1178">
        <v>104.337</v>
      </c>
      <c r="E29" s="1177">
        <v>104.337</v>
      </c>
      <c r="F29" s="1530"/>
      <c r="G29" s="1121">
        <f t="shared" si="0"/>
        <v>7.5</v>
      </c>
      <c r="H29" s="1179">
        <v>104.18700000000001</v>
      </c>
      <c r="I29" s="1178">
        <v>104.337</v>
      </c>
      <c r="J29" s="1177">
        <v>104.337</v>
      </c>
      <c r="K29" s="64"/>
      <c r="L29" s="1273" t="s">
        <v>7</v>
      </c>
      <c r="M29" s="1416">
        <v>0</v>
      </c>
      <c r="N29" s="1134">
        <v>102</v>
      </c>
      <c r="O29" s="1327"/>
      <c r="Q29" s="1458" t="s">
        <v>62</v>
      </c>
      <c r="R29" s="582" t="s">
        <v>191</v>
      </c>
      <c r="S29" s="1437">
        <f t="shared" si="1"/>
        <v>0</v>
      </c>
    </row>
    <row r="30" spans="1:19" s="936" customFormat="1">
      <c r="A30" s="1082"/>
      <c r="B30" s="1121">
        <f>margins!S20</f>
        <v>7.625</v>
      </c>
      <c r="C30" s="1179">
        <v>104.5</v>
      </c>
      <c r="D30" s="1178">
        <v>104.65</v>
      </c>
      <c r="E30" s="1177">
        <v>104.65</v>
      </c>
      <c r="F30" s="1530"/>
      <c r="G30" s="1121">
        <f t="shared" si="0"/>
        <v>7.625</v>
      </c>
      <c r="H30" s="1179">
        <v>104.5</v>
      </c>
      <c r="I30" s="1178">
        <v>104.65</v>
      </c>
      <c r="J30" s="1177">
        <v>104.65</v>
      </c>
      <c r="K30" s="64"/>
      <c r="L30" s="1273" t="s">
        <v>9</v>
      </c>
      <c r="M30" s="1416">
        <v>-0.375</v>
      </c>
      <c r="N30" s="1134">
        <v>101</v>
      </c>
      <c r="O30" s="1327"/>
      <c r="Q30" s="1458" t="s">
        <v>65</v>
      </c>
      <c r="R30" s="432" t="s">
        <v>191</v>
      </c>
      <c r="S30" s="1437">
        <f t="shared" si="1"/>
        <v>0</v>
      </c>
    </row>
    <row r="31" spans="1:19" s="936" customFormat="1">
      <c r="A31" s="1082"/>
      <c r="B31" s="1121">
        <f>margins!S21</f>
        <v>7.75</v>
      </c>
      <c r="C31" s="1179">
        <v>104.75</v>
      </c>
      <c r="D31" s="1178">
        <v>104.9</v>
      </c>
      <c r="E31" s="1177">
        <v>104.9</v>
      </c>
      <c r="F31" s="1530"/>
      <c r="G31" s="1121">
        <f t="shared" si="0"/>
        <v>7.75</v>
      </c>
      <c r="H31" s="1179">
        <v>104.75</v>
      </c>
      <c r="I31" s="1178">
        <v>104.9</v>
      </c>
      <c r="J31" s="1177">
        <v>104.9</v>
      </c>
      <c r="K31" s="64"/>
      <c r="L31" s="1273" t="s">
        <v>11</v>
      </c>
      <c r="M31" s="1416">
        <v>-0.75</v>
      </c>
      <c r="N31" s="1134">
        <v>100.5</v>
      </c>
      <c r="O31" s="1327"/>
      <c r="Q31" s="1458" t="s">
        <v>136</v>
      </c>
      <c r="R31" s="432" t="s">
        <v>191</v>
      </c>
      <c r="S31" s="1437">
        <f t="shared" si="1"/>
        <v>0</v>
      </c>
    </row>
    <row r="32" spans="1:19" s="936" customFormat="1" ht="15.75" thickBot="1">
      <c r="A32" s="1082"/>
      <c r="B32" s="1121">
        <f>margins!S22</f>
        <v>7.875</v>
      </c>
      <c r="C32" s="1179">
        <v>105</v>
      </c>
      <c r="D32" s="1178">
        <v>105.15</v>
      </c>
      <c r="E32" s="1177">
        <v>105.15</v>
      </c>
      <c r="F32" s="1530"/>
      <c r="G32" s="1121">
        <f t="shared" si="0"/>
        <v>7.875</v>
      </c>
      <c r="H32" s="1179">
        <v>105</v>
      </c>
      <c r="I32" s="1178">
        <v>105.15</v>
      </c>
      <c r="J32" s="1177">
        <v>105.15</v>
      </c>
      <c r="K32" s="64"/>
      <c r="L32" s="1089" t="s">
        <v>607</v>
      </c>
      <c r="M32" s="1417">
        <v>-1</v>
      </c>
      <c r="N32" s="1133">
        <v>100</v>
      </c>
      <c r="O32" s="1327"/>
      <c r="Q32" s="1458" t="s">
        <v>352</v>
      </c>
      <c r="R32" s="582" t="s">
        <v>191</v>
      </c>
      <c r="S32" s="1437">
        <f>IF(R32="Choose a Selection",0,VLOOKUP(R32,$L$27:$M$32,2,FALSE))</f>
        <v>0</v>
      </c>
    </row>
    <row r="33" spans="1:19" s="936" customFormat="1" ht="15" customHeight="1">
      <c r="A33" s="1082"/>
      <c r="B33" s="1121">
        <f>margins!S23</f>
        <v>8</v>
      </c>
      <c r="C33" s="1179">
        <v>105.25</v>
      </c>
      <c r="D33" s="1178">
        <v>105.4</v>
      </c>
      <c r="E33" s="1177">
        <v>105.4</v>
      </c>
      <c r="F33" s="1530"/>
      <c r="G33" s="1121">
        <f t="shared" si="0"/>
        <v>8</v>
      </c>
      <c r="H33" s="1179">
        <v>105.25</v>
      </c>
      <c r="I33" s="1178">
        <v>105.4</v>
      </c>
      <c r="J33" s="1177">
        <v>105.4</v>
      </c>
      <c r="K33" s="64"/>
      <c r="L33" s="1725" t="s">
        <v>732</v>
      </c>
      <c r="M33" s="1725"/>
      <c r="N33" s="1725"/>
      <c r="O33" s="1327"/>
      <c r="Q33" s="1458" t="s">
        <v>69</v>
      </c>
      <c r="R33" s="432" t="s">
        <v>191</v>
      </c>
      <c r="S33" s="1437">
        <f>IF(R33="Choose a Selection",0,(INDEX($E$85:$M$115,MATCH(R33,$C$85:$C$115,0),MATCH($R$17,$E$84:$M$84,0),1)))</f>
        <v>0</v>
      </c>
    </row>
    <row r="34" spans="1:19" s="936" customFormat="1" ht="15" customHeight="1">
      <c r="A34" s="1082"/>
      <c r="B34" s="1121">
        <f>margins!S24</f>
        <v>8.125</v>
      </c>
      <c r="C34" s="1179">
        <v>105.5</v>
      </c>
      <c r="D34" s="1178">
        <v>105.65</v>
      </c>
      <c r="E34" s="1177">
        <v>105.65</v>
      </c>
      <c r="F34" s="1530"/>
      <c r="G34" s="1121">
        <f t="shared" si="0"/>
        <v>8.125</v>
      </c>
      <c r="H34" s="1179">
        <v>105.5</v>
      </c>
      <c r="I34" s="1178">
        <v>105.65</v>
      </c>
      <c r="J34" s="1177">
        <v>105.65</v>
      </c>
      <c r="K34" s="64"/>
      <c r="L34" s="1725"/>
      <c r="M34" s="1725"/>
      <c r="N34" s="1725"/>
      <c r="O34" s="1327"/>
      <c r="Q34" s="1458" t="s">
        <v>633</v>
      </c>
      <c r="R34" s="432" t="s">
        <v>191</v>
      </c>
      <c r="S34" s="1437">
        <f>IF(R34="Choose a Selection",0,(INDEX($E$85:$M$115,MATCH(R34,$C$85:$C$115,0),MATCH($R$17,$E$84:$M$84,0),1)))</f>
        <v>0</v>
      </c>
    </row>
    <row r="35" spans="1:19" s="936" customFormat="1" ht="15" customHeight="1">
      <c r="A35" s="1082"/>
      <c r="B35" s="1121">
        <f>margins!S25</f>
        <v>8.25</v>
      </c>
      <c r="C35" s="1179">
        <v>105.75</v>
      </c>
      <c r="D35" s="1178">
        <v>105.9</v>
      </c>
      <c r="E35" s="1177">
        <v>105.9</v>
      </c>
      <c r="F35" s="1530"/>
      <c r="G35" s="1121">
        <f t="shared" si="0"/>
        <v>8.25</v>
      </c>
      <c r="H35" s="1179">
        <v>105.75</v>
      </c>
      <c r="I35" s="1178">
        <v>105.9</v>
      </c>
      <c r="J35" s="1177">
        <v>105.9</v>
      </c>
      <c r="K35" s="64"/>
      <c r="L35" s="1829" t="s">
        <v>733</v>
      </c>
      <c r="M35" s="1829"/>
      <c r="N35" s="1829"/>
      <c r="O35" s="1327"/>
      <c r="Q35" s="1458" t="s">
        <v>205</v>
      </c>
      <c r="R35" s="582" t="s">
        <v>191</v>
      </c>
      <c r="S35" s="1437">
        <f>IF(R35=15,0, IF(R35=30, N17, 0))</f>
        <v>0</v>
      </c>
    </row>
    <row r="36" spans="1:19" s="936" customFormat="1">
      <c r="A36" s="1082"/>
      <c r="B36" s="1121">
        <f>margins!S26</f>
        <v>8.375</v>
      </c>
      <c r="C36" s="1179">
        <v>106</v>
      </c>
      <c r="D36" s="1178">
        <v>106.15</v>
      </c>
      <c r="E36" s="1177">
        <v>106.15</v>
      </c>
      <c r="F36" s="1530"/>
      <c r="G36" s="1121">
        <f t="shared" si="0"/>
        <v>8.375</v>
      </c>
      <c r="H36" s="1179">
        <v>106</v>
      </c>
      <c r="I36" s="1178">
        <v>106.15</v>
      </c>
      <c r="J36" s="1177">
        <v>106.15</v>
      </c>
      <c r="K36" s="64"/>
      <c r="L36" s="1829"/>
      <c r="M36" s="1829"/>
      <c r="N36" s="1829"/>
      <c r="O36" s="1327"/>
      <c r="Q36" s="1438" t="s">
        <v>669</v>
      </c>
      <c r="R36" s="432" t="s">
        <v>191</v>
      </c>
      <c r="S36" s="1437">
        <f>IF(R36="All NQHEM Products",0.25,IF(OR(R36="*Bank Statement w/ CLTV ≤ 80 &amp; Loan Amt ≤ 1.25MM", R36="*Full Doc w/ CLTV ≤ 80 &amp; Loan Amt ≤ 1.25MM"),0.5,0))</f>
        <v>0</v>
      </c>
    </row>
    <row r="37" spans="1:19" s="936" customFormat="1" ht="15.75" customHeight="1" thickBot="1">
      <c r="A37" s="1082"/>
      <c r="B37" s="1121">
        <f>margins!S27</f>
        <v>8.5</v>
      </c>
      <c r="C37" s="1179">
        <v>106.25</v>
      </c>
      <c r="D37" s="1178">
        <v>106.4</v>
      </c>
      <c r="E37" s="1177">
        <v>106.4</v>
      </c>
      <c r="F37" s="1530"/>
      <c r="G37" s="1121">
        <f t="shared" si="0"/>
        <v>8.5</v>
      </c>
      <c r="H37" s="1179">
        <v>106.25</v>
      </c>
      <c r="I37" s="1178">
        <v>106.4</v>
      </c>
      <c r="J37" s="1177">
        <v>106.4</v>
      </c>
      <c r="K37" s="64"/>
      <c r="L37" s="1829" t="s">
        <v>734</v>
      </c>
      <c r="M37" s="1829"/>
      <c r="N37" s="1829"/>
      <c r="O37" s="1327"/>
      <c r="Q37" s="1459" t="s">
        <v>206</v>
      </c>
      <c r="R37" s="433"/>
      <c r="S37" s="1460">
        <f>SUM(S19:S36)</f>
        <v>0</v>
      </c>
    </row>
    <row r="38" spans="1:19" s="936" customFormat="1" ht="15.75" thickBot="1">
      <c r="A38" s="1082"/>
      <c r="B38" s="1121">
        <f>margins!S28</f>
        <v>8.625</v>
      </c>
      <c r="C38" s="1179">
        <v>106.46900000000001</v>
      </c>
      <c r="D38" s="1178">
        <v>106.619</v>
      </c>
      <c r="E38" s="1177">
        <v>106.619</v>
      </c>
      <c r="F38" s="1530"/>
      <c r="G38" s="1121">
        <f t="shared" si="0"/>
        <v>8.625</v>
      </c>
      <c r="H38" s="1179">
        <v>106.46900000000001</v>
      </c>
      <c r="I38" s="1178">
        <v>106.619</v>
      </c>
      <c r="J38" s="1177">
        <v>106.619</v>
      </c>
      <c r="K38" s="64"/>
      <c r="L38" s="1829"/>
      <c r="M38" s="1829"/>
      <c r="N38" s="1829"/>
      <c r="O38" s="1327"/>
      <c r="Q38" s="1442"/>
      <c r="R38" s="421"/>
      <c r="S38" s="1443"/>
    </row>
    <row r="39" spans="1:19" s="936" customFormat="1" ht="15.75" customHeight="1" thickBot="1">
      <c r="A39" s="1082"/>
      <c r="B39" s="1117">
        <f>margins!S29</f>
        <v>8.75</v>
      </c>
      <c r="C39" s="1269">
        <v>106.688</v>
      </c>
      <c r="D39" s="1274">
        <v>106.83800000000001</v>
      </c>
      <c r="E39" s="1122">
        <v>106.83800000000001</v>
      </c>
      <c r="F39" s="1530"/>
      <c r="G39" s="1121">
        <f t="shared" si="0"/>
        <v>8.75</v>
      </c>
      <c r="H39" s="1269">
        <v>106.688</v>
      </c>
      <c r="I39" s="1274">
        <v>106.83800000000001</v>
      </c>
      <c r="J39" s="1122">
        <v>106.83800000000001</v>
      </c>
      <c r="K39" s="64"/>
      <c r="L39" s="1829" t="s">
        <v>737</v>
      </c>
      <c r="M39" s="1829"/>
      <c r="N39" s="1829"/>
      <c r="O39" s="1327"/>
      <c r="Q39" s="1444" t="s">
        <v>207</v>
      </c>
      <c r="R39" s="423"/>
      <c r="S39" s="1445">
        <f>IF(ISNUMBER(MATCH("NA", S19:S36, 0)), "NA", IF(R28="Investor",MIN(S37+S16,VLOOKUP(R32,$L$27:$N$32,3,FALSE)),MIN(S37+S16,N14)))</f>
        <v>102</v>
      </c>
    </row>
    <row r="40" spans="1:19" s="936" customFormat="1" ht="15.75" thickBot="1">
      <c r="A40" s="1082"/>
      <c r="B40" s="1176"/>
      <c r="C40" s="1288"/>
      <c r="D40" s="1287"/>
      <c r="E40" s="1289"/>
      <c r="G40" s="1121"/>
      <c r="H40" s="1125"/>
      <c r="I40" s="1174"/>
      <c r="J40" s="1124"/>
      <c r="K40"/>
      <c r="L40" s="1829"/>
      <c r="M40" s="1829"/>
      <c r="N40" s="1829"/>
      <c r="O40" s="1327"/>
      <c r="Q40" s="1461"/>
      <c r="S40" s="1462"/>
    </row>
    <row r="41" spans="1:19" s="936" customFormat="1" ht="15" customHeight="1">
      <c r="A41" s="1082"/>
      <c r="B41" s="1729" t="str">
        <f ca="1">TEXT(TODAY(), "mmmm") &amp; " Special"</f>
        <v>July Special</v>
      </c>
      <c r="C41" s="1798"/>
      <c r="D41" s="1798"/>
      <c r="E41" s="1730"/>
      <c r="F41" s="941"/>
      <c r="G41" s="1729" t="str">
        <f ca="1">TEXT(TODAY(), "mmmm") &amp; " Special"</f>
        <v>July Special</v>
      </c>
      <c r="H41" s="1798"/>
      <c r="I41" s="1798"/>
      <c r="J41" s="1730"/>
      <c r="K41"/>
      <c r="L41" s="1524"/>
      <c r="M41" s="1524"/>
      <c r="N41" s="1524"/>
      <c r="O41" s="1327"/>
      <c r="Q41" s="1448" t="s">
        <v>446</v>
      </c>
      <c r="R41" s="1449"/>
      <c r="S41" s="1450"/>
    </row>
    <row r="42" spans="1:19" s="936" customFormat="1">
      <c r="A42" s="1082"/>
      <c r="B42" s="1493" t="s">
        <v>725</v>
      </c>
      <c r="C42" s="1492"/>
      <c r="D42" s="1491"/>
      <c r="E42" s="1494">
        <v>0.25</v>
      </c>
      <c r="F42" s="941"/>
      <c r="G42" s="1493" t="s">
        <v>725</v>
      </c>
      <c r="H42" s="1492"/>
      <c r="I42" s="1491"/>
      <c r="J42" s="1494">
        <v>0.25</v>
      </c>
      <c r="K42"/>
      <c r="L42" s="1524"/>
      <c r="M42" s="1524"/>
      <c r="N42" s="1524"/>
      <c r="O42" s="1327"/>
    </row>
    <row r="43" spans="1:19" s="936" customFormat="1" ht="15" customHeight="1" thickBot="1">
      <c r="A43" s="1082"/>
      <c r="B43" s="1499" t="s">
        <v>775</v>
      </c>
      <c r="C43" s="1500"/>
      <c r="D43" s="1501"/>
      <c r="E43" s="1502">
        <v>0.25</v>
      </c>
      <c r="G43" s="1611" t="s">
        <v>774</v>
      </c>
      <c r="H43" s="1500"/>
      <c r="I43" s="1501"/>
      <c r="J43" s="1502">
        <v>0.25</v>
      </c>
      <c r="K43"/>
      <c r="L43" s="1524"/>
      <c r="M43" s="1524"/>
      <c r="N43" s="1524"/>
      <c r="O43" s="1327"/>
    </row>
    <row r="44" spans="1:19" s="936" customFormat="1">
      <c r="A44" s="1082"/>
      <c r="B44" s="1503" t="s">
        <v>776</v>
      </c>
      <c r="C44" s="1503"/>
      <c r="D44" s="1504"/>
      <c r="E44" s="1504"/>
      <c r="G44" s="1503" t="s">
        <v>776</v>
      </c>
      <c r="H44" s="1503"/>
      <c r="I44" s="1504"/>
      <c r="J44" s="1504"/>
      <c r="K44"/>
      <c r="L44" s="1524"/>
      <c r="M44" s="1524"/>
      <c r="N44" s="1524"/>
      <c r="O44" s="1327"/>
    </row>
    <row r="45" spans="1:19" s="936" customFormat="1" ht="15.75" customHeight="1">
      <c r="A45" s="1082"/>
      <c r="B45" s="1218" t="s">
        <v>727</v>
      </c>
      <c r="C45" s="1505"/>
      <c r="D45" s="1505"/>
      <c r="E45" s="1505"/>
      <c r="G45" s="1218" t="s">
        <v>727</v>
      </c>
      <c r="H45" s="1505"/>
      <c r="I45" s="1505"/>
      <c r="J45" s="1505"/>
      <c r="K45"/>
      <c r="O45" s="1327"/>
    </row>
    <row r="46" spans="1:19" s="936" customFormat="1">
      <c r="A46" s="1082"/>
      <c r="B46" s="1218"/>
      <c r="G46" s="1218"/>
      <c r="K46" s="1422"/>
      <c r="L46" s="1421"/>
      <c r="M46" s="1421"/>
      <c r="N46" s="1421"/>
      <c r="O46" s="1327"/>
    </row>
    <row r="47" spans="1:19" s="936" customFormat="1">
      <c r="A47" s="1082"/>
      <c r="B47" s="1187"/>
      <c r="E47" s="1496"/>
      <c r="F47" s="1496"/>
      <c r="G47" s="1187"/>
      <c r="J47" s="1496"/>
      <c r="K47" s="1422"/>
      <c r="L47" s="1421"/>
      <c r="M47" s="1421"/>
      <c r="N47" s="1421"/>
      <c r="O47" s="1327"/>
    </row>
    <row r="48" spans="1:19" s="936" customFormat="1">
      <c r="A48" s="1082"/>
      <c r="E48" s="1506"/>
      <c r="F48" s="1218"/>
      <c r="G48" s="1218"/>
      <c r="H48" s="1507"/>
      <c r="K48" s="1422"/>
      <c r="L48" s="1421"/>
      <c r="M48" s="1421"/>
      <c r="N48" s="1421"/>
      <c r="O48" s="1327"/>
    </row>
    <row r="49" spans="1:34" s="936" customFormat="1" ht="15" customHeight="1">
      <c r="A49" s="1082"/>
      <c r="E49" s="1498"/>
      <c r="F49" s="1498"/>
      <c r="G49" s="1498"/>
      <c r="H49" s="1498"/>
      <c r="K49" s="1422"/>
      <c r="L49" s="1421"/>
      <c r="M49" s="1421"/>
      <c r="N49" s="1421"/>
      <c r="O49" s="1327"/>
    </row>
    <row r="50" spans="1:34" s="936" customFormat="1">
      <c r="A50" s="1082"/>
      <c r="E50" s="1498"/>
      <c r="F50" s="1498"/>
      <c r="G50" s="1498"/>
      <c r="H50" s="1498"/>
      <c r="K50" s="1422"/>
      <c r="L50" s="1421"/>
      <c r="M50" s="1421"/>
      <c r="N50" s="1421"/>
      <c r="O50" s="1327"/>
    </row>
    <row r="51" spans="1:34" s="936" customFormat="1">
      <c r="A51" s="1082"/>
      <c r="E51" s="1498"/>
      <c r="F51" s="1498"/>
      <c r="G51" s="1498"/>
      <c r="H51" s="1498"/>
      <c r="O51" s="1327"/>
    </row>
    <row r="52" spans="1:34" s="936" customFormat="1" ht="15.75" thickBot="1">
      <c r="A52" s="1082"/>
      <c r="E52" s="1423"/>
      <c r="F52" s="1423"/>
      <c r="G52" s="1423"/>
      <c r="H52" s="1423"/>
      <c r="O52" s="1327"/>
    </row>
    <row r="53" spans="1:34" s="936" customFormat="1" ht="15.75" thickBot="1">
      <c r="A53" s="1082"/>
      <c r="B53" s="1081" t="s">
        <v>705</v>
      </c>
      <c r="D53" s="1083"/>
      <c r="E53" s="1736" t="s">
        <v>298</v>
      </c>
      <c r="F53" s="1737"/>
      <c r="G53" s="1737"/>
      <c r="H53" s="1737"/>
      <c r="I53" s="1737"/>
      <c r="J53" s="1737"/>
      <c r="K53" s="1737"/>
      <c r="L53" s="1737"/>
      <c r="M53" s="1738"/>
      <c r="N53"/>
      <c r="O53" s="1327"/>
    </row>
    <row r="54" spans="1:34" s="936" customFormat="1" ht="15.75" thickBot="1">
      <c r="A54" s="1082"/>
      <c r="B54" s="1286"/>
      <c r="C54" s="1363"/>
      <c r="D54" s="1294" t="s">
        <v>191</v>
      </c>
      <c r="E54" s="1283" t="s">
        <v>15</v>
      </c>
      <c r="F54" s="1295" t="s">
        <v>16</v>
      </c>
      <c r="G54" s="1295" t="s">
        <v>17</v>
      </c>
      <c r="H54" s="1295" t="s">
        <v>18</v>
      </c>
      <c r="I54" s="1295" t="s">
        <v>19</v>
      </c>
      <c r="J54" s="1295" t="s">
        <v>20</v>
      </c>
      <c r="K54" s="1295" t="s">
        <v>21</v>
      </c>
      <c r="L54" s="1295" t="s">
        <v>22</v>
      </c>
      <c r="M54" s="1296" t="s">
        <v>23</v>
      </c>
      <c r="N54"/>
      <c r="O54" s="1327"/>
    </row>
    <row r="55" spans="1:34" s="936" customFormat="1">
      <c r="A55" s="1082"/>
      <c r="B55" s="1760" t="s">
        <v>190</v>
      </c>
      <c r="C55" s="1704" t="s">
        <v>37</v>
      </c>
      <c r="D55" s="1704"/>
      <c r="E55" s="1154">
        <v>1</v>
      </c>
      <c r="F55" s="1153">
        <v>1</v>
      </c>
      <c r="G55" s="1153">
        <v>0.75</v>
      </c>
      <c r="H55" s="1153">
        <v>0.625</v>
      </c>
      <c r="I55" s="1153">
        <v>0.375</v>
      </c>
      <c r="J55" s="1153">
        <v>0</v>
      </c>
      <c r="K55" s="1153">
        <v>-0.125</v>
      </c>
      <c r="L55" s="1153">
        <v>-1.625</v>
      </c>
      <c r="M55" s="1152">
        <v>-2.75</v>
      </c>
      <c r="N55"/>
      <c r="O55" s="1327"/>
    </row>
    <row r="56" spans="1:34" s="936" customFormat="1">
      <c r="A56" s="1082"/>
      <c r="B56" s="1760"/>
      <c r="C56" s="1707" t="s">
        <v>36</v>
      </c>
      <c r="D56" s="1707"/>
      <c r="E56" s="1095">
        <v>1</v>
      </c>
      <c r="F56" s="1094">
        <v>1</v>
      </c>
      <c r="G56" s="1094">
        <v>0.75</v>
      </c>
      <c r="H56" s="1094">
        <v>0.625</v>
      </c>
      <c r="I56" s="1094">
        <v>0.375</v>
      </c>
      <c r="J56" s="1094">
        <v>0</v>
      </c>
      <c r="K56" s="1094">
        <v>-0.25</v>
      </c>
      <c r="L56" s="1094">
        <v>-1.75</v>
      </c>
      <c r="M56" s="1093">
        <v>-2.875</v>
      </c>
      <c r="N56"/>
      <c r="O56" s="1327"/>
    </row>
    <row r="57" spans="1:34" s="936" customFormat="1">
      <c r="A57" s="1082"/>
      <c r="B57" s="1760"/>
      <c r="C57" s="1707" t="s">
        <v>24</v>
      </c>
      <c r="D57" s="1707"/>
      <c r="E57" s="1095">
        <v>0.875</v>
      </c>
      <c r="F57" s="1094">
        <v>0.875</v>
      </c>
      <c r="G57" s="1094">
        <v>0.625</v>
      </c>
      <c r="H57" s="1094">
        <v>0.5</v>
      </c>
      <c r="I57" s="1094">
        <v>0.25</v>
      </c>
      <c r="J57" s="1094">
        <v>-0.125</v>
      </c>
      <c r="K57" s="1094">
        <v>-0.375</v>
      </c>
      <c r="L57" s="1094">
        <v>-2.125</v>
      </c>
      <c r="M57" s="1093">
        <v>-3.375</v>
      </c>
      <c r="N57"/>
      <c r="O57" s="1327"/>
    </row>
    <row r="58" spans="1:34" s="936" customFormat="1">
      <c r="A58" s="1082"/>
      <c r="B58" s="1760"/>
      <c r="C58" s="1707" t="s">
        <v>25</v>
      </c>
      <c r="D58" s="1707"/>
      <c r="E58" s="1095">
        <v>0.75</v>
      </c>
      <c r="F58" s="1094">
        <v>0.75</v>
      </c>
      <c r="G58" s="1094">
        <v>0.5</v>
      </c>
      <c r="H58" s="1094">
        <v>0.375</v>
      </c>
      <c r="I58" s="1094">
        <v>0.125</v>
      </c>
      <c r="J58" s="1094">
        <v>-0.375</v>
      </c>
      <c r="K58" s="1094">
        <v>-0.875</v>
      </c>
      <c r="L58" s="1094">
        <v>-2.5</v>
      </c>
      <c r="M58" s="1093">
        <v>-4</v>
      </c>
      <c r="N58"/>
      <c r="O58" s="1327"/>
      <c r="T58" s="1081"/>
      <c r="V58" s="1083"/>
      <c r="W58" s="1"/>
      <c r="X58" s="1103"/>
      <c r="Y58" s="1104"/>
      <c r="Z58" s="1104"/>
      <c r="AA58" s="1105"/>
      <c r="AB58" s="1103"/>
      <c r="AC58" s="1104"/>
      <c r="AD58" s="1104"/>
      <c r="AE58" s="1105"/>
      <c r="AF58" s="1103"/>
      <c r="AG58" s="1104"/>
      <c r="AH58" s="1104"/>
    </row>
    <row r="59" spans="1:34" s="936" customFormat="1">
      <c r="A59" s="1082"/>
      <c r="B59" s="1760"/>
      <c r="C59" s="1707" t="s">
        <v>26</v>
      </c>
      <c r="D59" s="1707"/>
      <c r="E59" s="1095">
        <v>0.625</v>
      </c>
      <c r="F59" s="1094">
        <v>0.625</v>
      </c>
      <c r="G59" s="1094">
        <v>0.375</v>
      </c>
      <c r="H59" s="1094">
        <v>0.25</v>
      </c>
      <c r="I59" s="1094">
        <v>-0.25</v>
      </c>
      <c r="J59" s="1094">
        <v>-1</v>
      </c>
      <c r="K59" s="1094">
        <v>-1.375</v>
      </c>
      <c r="L59" s="1094">
        <v>-3.5</v>
      </c>
      <c r="M59" s="1093">
        <v>-4.875</v>
      </c>
      <c r="N59"/>
      <c r="O59" s="1327"/>
    </row>
    <row r="60" spans="1:34" s="936" customFormat="1">
      <c r="A60" s="1082"/>
      <c r="B60" s="1760"/>
      <c r="C60" s="1707" t="s">
        <v>27</v>
      </c>
      <c r="D60" s="1707"/>
      <c r="E60" s="1095">
        <v>0.375</v>
      </c>
      <c r="F60" s="1094">
        <v>0.375</v>
      </c>
      <c r="G60" s="1094">
        <v>0</v>
      </c>
      <c r="H60" s="1094">
        <v>-0.375</v>
      </c>
      <c r="I60" s="1094">
        <v>-0.875</v>
      </c>
      <c r="J60" s="1094">
        <v>-2.125</v>
      </c>
      <c r="K60" s="1094">
        <v>-2.5</v>
      </c>
      <c r="L60" s="1094">
        <v>-4.75</v>
      </c>
      <c r="M60" s="1093">
        <v>-6.625</v>
      </c>
      <c r="N60"/>
      <c r="O60" s="1327"/>
    </row>
    <row r="61" spans="1:34" s="936" customFormat="1" ht="15" customHeight="1">
      <c r="A61" s="1082"/>
      <c r="B61" s="1760"/>
      <c r="C61" s="1707" t="s">
        <v>28</v>
      </c>
      <c r="D61" s="1707"/>
      <c r="E61" s="1095">
        <v>-0.25</v>
      </c>
      <c r="F61" s="1094">
        <v>-0.5</v>
      </c>
      <c r="G61" s="1094">
        <v>-0.75</v>
      </c>
      <c r="H61" s="1094">
        <v>-1.5</v>
      </c>
      <c r="I61" s="1094">
        <v>-2.25</v>
      </c>
      <c r="J61" s="1094">
        <v>-2.875</v>
      </c>
      <c r="K61" s="1094">
        <v>-3.5</v>
      </c>
      <c r="L61" s="1094" t="s">
        <v>14</v>
      </c>
      <c r="M61" s="1093" t="s">
        <v>14</v>
      </c>
      <c r="N61"/>
      <c r="O61" s="1327"/>
    </row>
    <row r="62" spans="1:34" s="936" customFormat="1" ht="15" customHeight="1">
      <c r="A62" s="1082"/>
      <c r="B62" s="1760"/>
      <c r="C62" s="1707" t="s">
        <v>80</v>
      </c>
      <c r="D62" s="1707"/>
      <c r="E62" s="1095">
        <v>-1.25</v>
      </c>
      <c r="F62" s="1094">
        <v>-1.25</v>
      </c>
      <c r="G62" s="1094">
        <v>-1.25</v>
      </c>
      <c r="H62" s="1094">
        <v>-1.875</v>
      </c>
      <c r="I62" s="1094">
        <v>-2.375</v>
      </c>
      <c r="J62" s="1094">
        <v>-3.125</v>
      </c>
      <c r="K62" s="1094">
        <v>-3.375</v>
      </c>
      <c r="L62" s="1094" t="s">
        <v>14</v>
      </c>
      <c r="M62" s="1093" t="s">
        <v>14</v>
      </c>
      <c r="N62"/>
      <c r="O62" s="1327"/>
    </row>
    <row r="63" spans="1:34" s="936" customFormat="1" ht="15" customHeight="1" thickBot="1">
      <c r="A63" s="1082"/>
      <c r="B63" s="1773"/>
      <c r="C63" s="1707" t="s">
        <v>81</v>
      </c>
      <c r="D63" s="1707"/>
      <c r="E63" s="1095">
        <v>-2.25</v>
      </c>
      <c r="F63" s="1094">
        <v>-2.25</v>
      </c>
      <c r="G63" s="1094">
        <v>-2.25</v>
      </c>
      <c r="H63" s="1094">
        <v>-2.625</v>
      </c>
      <c r="I63" s="1094">
        <v>-3.125</v>
      </c>
      <c r="J63" s="1094">
        <v>-4.875</v>
      </c>
      <c r="K63" s="1094">
        <v>-5.375</v>
      </c>
      <c r="L63" s="1094" t="s">
        <v>14</v>
      </c>
      <c r="M63" s="1093" t="s">
        <v>14</v>
      </c>
      <c r="N63"/>
      <c r="O63" s="1327"/>
    </row>
    <row r="64" spans="1:34" s="936" customFormat="1" ht="15.75" thickBot="1">
      <c r="A64" s="1082"/>
      <c r="B64" s="1761" t="s">
        <v>721</v>
      </c>
      <c r="C64" s="1762"/>
      <c r="D64" s="1763"/>
      <c r="E64" s="1098">
        <v>0</v>
      </c>
      <c r="F64" s="1097">
        <v>0</v>
      </c>
      <c r="G64" s="1097">
        <v>0</v>
      </c>
      <c r="H64" s="1097">
        <v>0</v>
      </c>
      <c r="I64" s="1097">
        <v>0</v>
      </c>
      <c r="J64" s="1097">
        <v>0</v>
      </c>
      <c r="K64" s="1097">
        <v>0</v>
      </c>
      <c r="L64" s="1097">
        <v>-0.25</v>
      </c>
      <c r="M64" s="1096">
        <v>-0.375</v>
      </c>
      <c r="N64"/>
      <c r="O64" s="1327"/>
    </row>
    <row r="65" spans="1:15" s="936" customFormat="1" ht="15.75" thickBot="1">
      <c r="A65" s="1082"/>
      <c r="N65"/>
      <c r="O65" s="1327"/>
    </row>
    <row r="66" spans="1:15" s="936" customFormat="1" ht="15.75" thickBot="1">
      <c r="A66" s="1082"/>
      <c r="B66" s="1081" t="s">
        <v>706</v>
      </c>
      <c r="D66" s="1083"/>
      <c r="E66" s="1736" t="s">
        <v>298</v>
      </c>
      <c r="F66" s="1737"/>
      <c r="G66" s="1737"/>
      <c r="H66" s="1737"/>
      <c r="I66" s="1737"/>
      <c r="J66" s="1737"/>
      <c r="K66" s="1737"/>
      <c r="L66" s="1737"/>
      <c r="M66" s="1738"/>
      <c r="N66"/>
      <c r="O66" s="1327"/>
    </row>
    <row r="67" spans="1:15" s="936" customFormat="1" ht="15.75" thickBot="1">
      <c r="A67" s="1082"/>
      <c r="B67" s="1286"/>
      <c r="C67" s="1762"/>
      <c r="D67" s="1763"/>
      <c r="E67" s="1161" t="s">
        <v>15</v>
      </c>
      <c r="F67" s="1160" t="s">
        <v>16</v>
      </c>
      <c r="G67" s="1160" t="s">
        <v>17</v>
      </c>
      <c r="H67" s="1160" t="s">
        <v>18</v>
      </c>
      <c r="I67" s="1160" t="s">
        <v>19</v>
      </c>
      <c r="J67" s="1160" t="s">
        <v>20</v>
      </c>
      <c r="K67" s="1160" t="s">
        <v>21</v>
      </c>
      <c r="L67" s="1160" t="s">
        <v>22</v>
      </c>
      <c r="M67" s="1159" t="s">
        <v>23</v>
      </c>
      <c r="N67"/>
      <c r="O67" s="1327"/>
    </row>
    <row r="68" spans="1:15" s="936" customFormat="1">
      <c r="A68" s="1082"/>
      <c r="B68" s="1290"/>
      <c r="C68" s="1704" t="s">
        <v>37</v>
      </c>
      <c r="D68" s="1705"/>
      <c r="E68" s="1095">
        <v>1.125</v>
      </c>
      <c r="F68" s="1094">
        <v>1.125</v>
      </c>
      <c r="G68" s="1094">
        <v>0.875</v>
      </c>
      <c r="H68" s="1094">
        <v>0.75</v>
      </c>
      <c r="I68" s="1094">
        <v>0.5</v>
      </c>
      <c r="J68" s="1094">
        <v>0</v>
      </c>
      <c r="K68" s="1094">
        <v>-0.25</v>
      </c>
      <c r="L68" s="1094">
        <v>-1.75</v>
      </c>
      <c r="M68" s="1093">
        <v>-3</v>
      </c>
      <c r="N68"/>
      <c r="O68" s="1327"/>
    </row>
    <row r="69" spans="1:15" s="936" customFormat="1">
      <c r="A69" s="1082"/>
      <c r="B69" s="1290" t="s">
        <v>5</v>
      </c>
      <c r="C69" s="1707" t="s">
        <v>36</v>
      </c>
      <c r="D69" s="1708"/>
      <c r="E69" s="1095">
        <v>1.125</v>
      </c>
      <c r="F69" s="1094">
        <v>1.125</v>
      </c>
      <c r="G69" s="1094">
        <v>0.875</v>
      </c>
      <c r="H69" s="1094">
        <v>0.75</v>
      </c>
      <c r="I69" s="1094">
        <v>0.5</v>
      </c>
      <c r="J69" s="1094">
        <v>0</v>
      </c>
      <c r="K69" s="1094">
        <v>-0.375</v>
      </c>
      <c r="L69" s="1094">
        <v>-1.875</v>
      </c>
      <c r="M69" s="1093">
        <v>-3.125</v>
      </c>
      <c r="N69"/>
      <c r="O69" s="1327"/>
    </row>
    <row r="70" spans="1:15" s="936" customFormat="1" ht="22.5">
      <c r="A70" s="1082"/>
      <c r="B70" s="1291" t="s">
        <v>38</v>
      </c>
      <c r="C70" s="1707" t="s">
        <v>24</v>
      </c>
      <c r="D70" s="1708"/>
      <c r="E70" s="1095">
        <v>1</v>
      </c>
      <c r="F70" s="1094">
        <v>1</v>
      </c>
      <c r="G70" s="1094">
        <v>0.75</v>
      </c>
      <c r="H70" s="1094">
        <v>0.625</v>
      </c>
      <c r="I70" s="1094">
        <v>0.375</v>
      </c>
      <c r="J70" s="1094">
        <v>-0.125</v>
      </c>
      <c r="K70" s="1094">
        <v>-0.5</v>
      </c>
      <c r="L70" s="1094">
        <v>-2.375</v>
      </c>
      <c r="M70" s="1093">
        <v>-3.75</v>
      </c>
      <c r="N70"/>
      <c r="O70" s="1327"/>
    </row>
    <row r="71" spans="1:15" s="936" customFormat="1" ht="22.5">
      <c r="A71" s="1082"/>
      <c r="B71" s="1291" t="s">
        <v>680</v>
      </c>
      <c r="C71" s="1707" t="s">
        <v>25</v>
      </c>
      <c r="D71" s="1708"/>
      <c r="E71" s="1095">
        <v>0.875</v>
      </c>
      <c r="F71" s="1094">
        <v>0.875</v>
      </c>
      <c r="G71" s="1094">
        <v>0.625</v>
      </c>
      <c r="H71" s="1094">
        <v>0.5</v>
      </c>
      <c r="I71" s="1094">
        <v>0.25</v>
      </c>
      <c r="J71" s="1094">
        <v>-0.5</v>
      </c>
      <c r="K71" s="1094">
        <v>-1.125</v>
      </c>
      <c r="L71" s="1094">
        <v>-2.875</v>
      </c>
      <c r="M71" s="1093">
        <v>-4.375</v>
      </c>
      <c r="N71"/>
      <c r="O71" s="1327"/>
    </row>
    <row r="72" spans="1:15" s="936" customFormat="1">
      <c r="A72" s="1082"/>
      <c r="B72" s="1290" t="s">
        <v>39</v>
      </c>
      <c r="C72" s="1707" t="s">
        <v>26</v>
      </c>
      <c r="D72" s="1708"/>
      <c r="E72" s="1095">
        <v>0.75</v>
      </c>
      <c r="F72" s="1094">
        <v>0.75</v>
      </c>
      <c r="G72" s="1094">
        <v>0.5</v>
      </c>
      <c r="H72" s="1094">
        <v>0.375</v>
      </c>
      <c r="I72" s="1094">
        <v>-0.125</v>
      </c>
      <c r="J72" s="1094">
        <v>-1.125</v>
      </c>
      <c r="K72" s="1094">
        <v>-1.625</v>
      </c>
      <c r="L72" s="1094">
        <v>-3.875</v>
      </c>
      <c r="M72" s="1093">
        <v>-5.375</v>
      </c>
      <c r="N72"/>
      <c r="O72" s="1327"/>
    </row>
    <row r="73" spans="1:15" s="936" customFormat="1">
      <c r="A73" s="1082"/>
      <c r="B73" s="1290" t="s">
        <v>40</v>
      </c>
      <c r="C73" s="1707" t="s">
        <v>27</v>
      </c>
      <c r="D73" s="1708"/>
      <c r="E73" s="1095">
        <v>0.375</v>
      </c>
      <c r="F73" s="1094">
        <v>0.375</v>
      </c>
      <c r="G73" s="1094">
        <v>0</v>
      </c>
      <c r="H73" s="1094">
        <v>-0.5</v>
      </c>
      <c r="I73" s="1094">
        <v>-0.875</v>
      </c>
      <c r="J73" s="1094">
        <v>-2.375</v>
      </c>
      <c r="K73" s="1094">
        <v>-3</v>
      </c>
      <c r="L73" s="1094">
        <v>-5.25</v>
      </c>
      <c r="M73" s="1093">
        <v>-6.75</v>
      </c>
      <c r="N73"/>
      <c r="O73" s="1327"/>
    </row>
    <row r="74" spans="1:15" s="936" customFormat="1">
      <c r="A74" s="1082"/>
      <c r="B74" s="1290" t="s">
        <v>88</v>
      </c>
      <c r="C74" s="1719" t="s">
        <v>28</v>
      </c>
      <c r="D74" s="1720"/>
      <c r="E74" s="1173">
        <v>-0.25</v>
      </c>
      <c r="F74" s="1172">
        <v>-0.5</v>
      </c>
      <c r="G74" s="1172">
        <v>-0.875</v>
      </c>
      <c r="H74" s="1172">
        <v>-1.625</v>
      </c>
      <c r="I74" s="1172">
        <v>-2.5</v>
      </c>
      <c r="J74" s="1172">
        <v>-3.125</v>
      </c>
      <c r="K74" s="1172">
        <v>-3.75</v>
      </c>
      <c r="L74" s="1172" t="s">
        <v>14</v>
      </c>
      <c r="M74" s="1171" t="s">
        <v>14</v>
      </c>
      <c r="N74"/>
      <c r="O74" s="1327"/>
    </row>
    <row r="75" spans="1:15" s="936" customFormat="1">
      <c r="A75" s="1082"/>
      <c r="B75" s="1280"/>
      <c r="C75" s="1707" t="s">
        <v>80</v>
      </c>
      <c r="D75" s="1707"/>
      <c r="E75" s="1173">
        <v>-1.25</v>
      </c>
      <c r="F75" s="1172">
        <v>-1.25</v>
      </c>
      <c r="G75" s="1172">
        <v>-1.25</v>
      </c>
      <c r="H75" s="1172">
        <v>-1.875</v>
      </c>
      <c r="I75" s="1172">
        <v>-2.75</v>
      </c>
      <c r="J75" s="1172">
        <v>-3.125</v>
      </c>
      <c r="K75" s="1172">
        <v>-4.125</v>
      </c>
      <c r="L75" s="1172" t="s">
        <v>14</v>
      </c>
      <c r="M75" s="1171" t="s">
        <v>14</v>
      </c>
      <c r="N75"/>
      <c r="O75" s="1327"/>
    </row>
    <row r="76" spans="1:15" s="936" customFormat="1" ht="15.75" thickBot="1">
      <c r="A76" s="1082"/>
      <c r="B76" s="1281"/>
      <c r="C76" s="1707" t="s">
        <v>81</v>
      </c>
      <c r="D76" s="1707"/>
      <c r="E76" s="1173">
        <v>-2.5</v>
      </c>
      <c r="F76" s="1172">
        <v>-2.5</v>
      </c>
      <c r="G76" s="1172">
        <v>-2.5</v>
      </c>
      <c r="H76" s="1172">
        <v>-2.75</v>
      </c>
      <c r="I76" s="1172">
        <v>-3.25</v>
      </c>
      <c r="J76" s="1172">
        <v>-4.75</v>
      </c>
      <c r="K76" s="1172">
        <v>-5.5</v>
      </c>
      <c r="L76" s="1172" t="s">
        <v>14</v>
      </c>
      <c r="M76" s="1171" t="s">
        <v>14</v>
      </c>
      <c r="N76"/>
      <c r="O76" s="1327"/>
    </row>
    <row r="77" spans="1:15" s="936" customFormat="1">
      <c r="A77" s="1082"/>
      <c r="B77" s="1757" t="s">
        <v>683</v>
      </c>
      <c r="C77" s="1716" t="s">
        <v>43</v>
      </c>
      <c r="D77" s="1717"/>
      <c r="E77" s="1092">
        <v>0</v>
      </c>
      <c r="F77" s="1091">
        <v>0</v>
      </c>
      <c r="G77" s="1091">
        <v>0</v>
      </c>
      <c r="H77" s="1091">
        <v>0</v>
      </c>
      <c r="I77" s="1091">
        <v>0</v>
      </c>
      <c r="J77" s="1091">
        <v>0</v>
      </c>
      <c r="K77" s="1091">
        <v>0</v>
      </c>
      <c r="L77" s="1091">
        <v>-0.25</v>
      </c>
      <c r="M77" s="1090">
        <v>-0.375</v>
      </c>
      <c r="N77"/>
      <c r="O77" s="1327"/>
    </row>
    <row r="78" spans="1:15" s="936" customFormat="1" ht="15" customHeight="1">
      <c r="A78" s="1082"/>
      <c r="B78" s="1758"/>
      <c r="C78" s="1707" t="s">
        <v>44</v>
      </c>
      <c r="D78" s="1708"/>
      <c r="E78" s="1095">
        <v>0</v>
      </c>
      <c r="F78" s="1094">
        <v>0</v>
      </c>
      <c r="G78" s="1094">
        <v>0</v>
      </c>
      <c r="H78" s="1094">
        <v>0</v>
      </c>
      <c r="I78" s="1094">
        <v>0</v>
      </c>
      <c r="J78" s="1094">
        <v>0</v>
      </c>
      <c r="K78" s="1094">
        <v>0</v>
      </c>
      <c r="L78" s="1094">
        <v>-0.25</v>
      </c>
      <c r="M78" s="1093">
        <v>-0.375</v>
      </c>
      <c r="N78"/>
      <c r="O78" s="1327"/>
    </row>
    <row r="79" spans="1:15" s="936" customFormat="1">
      <c r="A79" s="1082"/>
      <c r="B79" s="1758"/>
      <c r="C79" s="1707" t="s">
        <v>616</v>
      </c>
      <c r="D79" s="1708"/>
      <c r="E79" s="1095">
        <v>-0.625</v>
      </c>
      <c r="F79" s="1094">
        <v>-0.625</v>
      </c>
      <c r="G79" s="1094">
        <v>-0.625</v>
      </c>
      <c r="H79" s="1094">
        <v>-0.625</v>
      </c>
      <c r="I79" s="1094">
        <v>-0.625</v>
      </c>
      <c r="J79" s="1094">
        <v>-0.625</v>
      </c>
      <c r="K79" s="1094">
        <v>-0.625</v>
      </c>
      <c r="L79" s="1094">
        <v>-2.75</v>
      </c>
      <c r="M79" s="1093" t="s">
        <v>14</v>
      </c>
      <c r="N79"/>
      <c r="O79" s="1327"/>
    </row>
    <row r="80" spans="1:15" s="936" customFormat="1">
      <c r="A80" s="1082"/>
      <c r="B80" s="1758"/>
      <c r="C80" s="1707" t="s">
        <v>681</v>
      </c>
      <c r="D80" s="1708"/>
      <c r="E80" s="1095">
        <v>-1.625</v>
      </c>
      <c r="F80" s="1094">
        <v>-1.625</v>
      </c>
      <c r="G80" s="1094">
        <v>-1.625</v>
      </c>
      <c r="H80" s="1094">
        <v>-1.625</v>
      </c>
      <c r="I80" s="1094">
        <v>-1.625</v>
      </c>
      <c r="J80" s="1094">
        <v>-1.75</v>
      </c>
      <c r="K80" s="1094">
        <v>-2.125</v>
      </c>
      <c r="L80" s="1094">
        <v>-5.125</v>
      </c>
      <c r="M80" s="1093" t="s">
        <v>14</v>
      </c>
      <c r="N80"/>
      <c r="O80" s="1327"/>
    </row>
    <row r="81" spans="1:15" s="936" customFormat="1" ht="32.25" customHeight="1" thickBot="1">
      <c r="A81" s="1082"/>
      <c r="B81" s="1759"/>
      <c r="C81" s="1862" t="s">
        <v>682</v>
      </c>
      <c r="D81" s="1863"/>
      <c r="E81" s="1157">
        <v>0</v>
      </c>
      <c r="F81" s="1156">
        <v>0</v>
      </c>
      <c r="G81" s="1156">
        <v>0</v>
      </c>
      <c r="H81" s="1156">
        <v>0</v>
      </c>
      <c r="I81" s="1156">
        <v>-0.125</v>
      </c>
      <c r="J81" s="1156">
        <v>-0.25</v>
      </c>
      <c r="K81" s="1156">
        <v>-0.375</v>
      </c>
      <c r="L81" s="1156">
        <v>-0.5</v>
      </c>
      <c r="M81" s="1155" t="s">
        <v>14</v>
      </c>
      <c r="N81"/>
      <c r="O81" s="1327"/>
    </row>
    <row r="82" spans="1:15" s="936" customFormat="1" ht="15.75" thickBot="1">
      <c r="A82" s="1082"/>
      <c r="N82"/>
      <c r="O82" s="1327"/>
    </row>
    <row r="83" spans="1:15" s="936" customFormat="1" ht="15.75" thickBot="1">
      <c r="A83" s="1082"/>
      <c r="B83" s="1081" t="s">
        <v>704</v>
      </c>
      <c r="D83" s="1083"/>
      <c r="E83" s="1736" t="s">
        <v>298</v>
      </c>
      <c r="F83" s="1737"/>
      <c r="G83" s="1737"/>
      <c r="H83" s="1737"/>
      <c r="I83" s="1737"/>
      <c r="J83" s="1737"/>
      <c r="K83" s="1737"/>
      <c r="L83" s="1737"/>
      <c r="M83" s="1738"/>
      <c r="N83"/>
      <c r="O83" s="1327"/>
    </row>
    <row r="84" spans="1:15" s="936" customFormat="1" ht="15.75" thickBot="1">
      <c r="A84" s="1082"/>
      <c r="B84" s="1276"/>
      <c r="C84" s="1270"/>
      <c r="D84" s="1270"/>
      <c r="E84" s="1194" t="s">
        <v>15</v>
      </c>
      <c r="F84" s="1195" t="s">
        <v>16</v>
      </c>
      <c r="G84" s="1195" t="s">
        <v>17</v>
      </c>
      <c r="H84" s="1195" t="s">
        <v>18</v>
      </c>
      <c r="I84" s="1195" t="s">
        <v>19</v>
      </c>
      <c r="J84" s="1195" t="s">
        <v>20</v>
      </c>
      <c r="K84" s="1195" t="s">
        <v>21</v>
      </c>
      <c r="L84" s="1195" t="s">
        <v>22</v>
      </c>
      <c r="M84" s="1196" t="s">
        <v>23</v>
      </c>
      <c r="N84"/>
      <c r="O84" s="1327"/>
    </row>
    <row r="85" spans="1:15" s="936" customFormat="1">
      <c r="A85" s="1082"/>
      <c r="B85" s="1772" t="s">
        <v>71</v>
      </c>
      <c r="C85" s="1860" t="s">
        <v>72</v>
      </c>
      <c r="D85" s="1861"/>
      <c r="E85" s="1216">
        <v>-0.125</v>
      </c>
      <c r="F85" s="1216">
        <v>-0.25</v>
      </c>
      <c r="G85" s="1216">
        <v>-0.25</v>
      </c>
      <c r="H85" s="1216">
        <v>-0.375</v>
      </c>
      <c r="I85" s="1216">
        <v>-0.375</v>
      </c>
      <c r="J85" s="1216">
        <v>-0.375</v>
      </c>
      <c r="K85" s="1216">
        <v>-0.5</v>
      </c>
      <c r="L85" s="1216">
        <v>-0.5</v>
      </c>
      <c r="M85" s="1217" t="s">
        <v>14</v>
      </c>
      <c r="N85"/>
      <c r="O85" s="1327"/>
    </row>
    <row r="86" spans="1:15" s="936" customFormat="1">
      <c r="A86" s="1082"/>
      <c r="B86" s="1760"/>
      <c r="C86" s="1866" t="s">
        <v>73</v>
      </c>
      <c r="D86" s="1867"/>
      <c r="E86" s="1158">
        <v>-0.875</v>
      </c>
      <c r="F86" s="1158">
        <v>-0.875</v>
      </c>
      <c r="G86" s="1158">
        <v>-0.875</v>
      </c>
      <c r="H86" s="1158">
        <v>-0.875</v>
      </c>
      <c r="I86" s="1158">
        <v>-0.875</v>
      </c>
      <c r="J86" s="1158">
        <v>-1.125</v>
      </c>
      <c r="K86" s="1158">
        <v>-1.125</v>
      </c>
      <c r="L86" s="1158" t="s">
        <v>14</v>
      </c>
      <c r="M86" s="1279" t="s">
        <v>14</v>
      </c>
      <c r="N86"/>
      <c r="O86" s="1327"/>
    </row>
    <row r="87" spans="1:15" s="936" customFormat="1" ht="15.75" thickBot="1">
      <c r="A87" s="1082"/>
      <c r="B87" s="1760"/>
      <c r="C87" s="1866" t="s">
        <v>74</v>
      </c>
      <c r="D87" s="1867"/>
      <c r="E87" s="1158">
        <v>-1.25</v>
      </c>
      <c r="F87" s="1158">
        <v>-1.25</v>
      </c>
      <c r="G87" s="1158">
        <v>-1.25</v>
      </c>
      <c r="H87" s="1158">
        <v>-1.25</v>
      </c>
      <c r="I87" s="1158">
        <v>-1.5</v>
      </c>
      <c r="J87" s="1158" t="s">
        <v>14</v>
      </c>
      <c r="K87" s="1158" t="s">
        <v>14</v>
      </c>
      <c r="L87" s="1158" t="s">
        <v>14</v>
      </c>
      <c r="M87" s="1279" t="s">
        <v>14</v>
      </c>
      <c r="N87"/>
      <c r="O87" s="1327"/>
    </row>
    <row r="88" spans="1:15" s="936" customFormat="1">
      <c r="A88" s="1082"/>
      <c r="B88" s="1757" t="s">
        <v>685</v>
      </c>
      <c r="C88" s="1860" t="s">
        <v>76</v>
      </c>
      <c r="D88" s="1861"/>
      <c r="E88" s="1216">
        <v>0</v>
      </c>
      <c r="F88" s="1216">
        <v>0</v>
      </c>
      <c r="G88" s="1216">
        <v>0</v>
      </c>
      <c r="H88" s="1216">
        <v>0</v>
      </c>
      <c r="I88" s="1216">
        <v>0</v>
      </c>
      <c r="J88" s="1216">
        <v>0</v>
      </c>
      <c r="K88" s="1216">
        <v>0</v>
      </c>
      <c r="L88" s="1216">
        <v>0</v>
      </c>
      <c r="M88" s="1217" t="s">
        <v>14</v>
      </c>
      <c r="N88"/>
      <c r="O88" s="1327"/>
    </row>
    <row r="89" spans="1:15" s="936" customFormat="1">
      <c r="A89" s="1082"/>
      <c r="B89" s="1758"/>
      <c r="C89" s="1866" t="s">
        <v>78</v>
      </c>
      <c r="D89" s="1867"/>
      <c r="E89" s="1158">
        <v>-0.75</v>
      </c>
      <c r="F89" s="1158">
        <v>-0.75</v>
      </c>
      <c r="G89" s="1158">
        <v>-0.75</v>
      </c>
      <c r="H89" s="1158">
        <v>-0.75</v>
      </c>
      <c r="I89" s="1158">
        <v>-0.75</v>
      </c>
      <c r="J89" s="1158">
        <v>-0.75</v>
      </c>
      <c r="K89" s="1158">
        <v>-0.75</v>
      </c>
      <c r="L89" s="1158" t="s">
        <v>14</v>
      </c>
      <c r="M89" s="1279" t="s">
        <v>14</v>
      </c>
      <c r="N89"/>
      <c r="O89" s="1327"/>
    </row>
    <row r="90" spans="1:15" s="936" customFormat="1" ht="15.75" thickBot="1">
      <c r="A90" s="1082"/>
      <c r="B90" s="1759"/>
      <c r="C90" s="1864" t="s">
        <v>79</v>
      </c>
      <c r="D90" s="1865"/>
      <c r="E90" s="1087">
        <v>-1</v>
      </c>
      <c r="F90" s="1087">
        <v>-1</v>
      </c>
      <c r="G90" s="1087">
        <v>-1</v>
      </c>
      <c r="H90" s="1087">
        <v>-1</v>
      </c>
      <c r="I90" s="1087">
        <v>-1</v>
      </c>
      <c r="J90" s="1087" t="s">
        <v>14</v>
      </c>
      <c r="K90" s="1087" t="s">
        <v>14</v>
      </c>
      <c r="L90" s="1087" t="s">
        <v>14</v>
      </c>
      <c r="M90" s="1086" t="s">
        <v>14</v>
      </c>
      <c r="N90"/>
      <c r="O90" s="1327"/>
    </row>
    <row r="91" spans="1:15" s="936" customFormat="1">
      <c r="A91" s="1082"/>
      <c r="B91" s="1772" t="s">
        <v>45</v>
      </c>
      <c r="C91" s="1860" t="s">
        <v>46</v>
      </c>
      <c r="D91" s="1861"/>
      <c r="E91" s="1215">
        <v>0</v>
      </c>
      <c r="F91" s="1216">
        <v>0</v>
      </c>
      <c r="G91" s="1216">
        <v>0</v>
      </c>
      <c r="H91" s="1216">
        <v>0</v>
      </c>
      <c r="I91" s="1216">
        <v>0</v>
      </c>
      <c r="J91" s="1216">
        <v>0</v>
      </c>
      <c r="K91" s="1216">
        <v>0</v>
      </c>
      <c r="L91" s="1216">
        <v>-0.25</v>
      </c>
      <c r="M91" s="1217">
        <v>-0.25</v>
      </c>
      <c r="N91"/>
      <c r="O91" s="1327"/>
    </row>
    <row r="92" spans="1:15" s="936" customFormat="1" ht="15.75" thickBot="1">
      <c r="A92" s="1082"/>
      <c r="B92" s="1773"/>
      <c r="C92" s="1864" t="s">
        <v>684</v>
      </c>
      <c r="D92" s="1865"/>
      <c r="E92" s="1088">
        <v>-0.125</v>
      </c>
      <c r="F92" s="1087">
        <v>-0.125</v>
      </c>
      <c r="G92" s="1087">
        <v>-0.125</v>
      </c>
      <c r="H92" s="1087">
        <v>-0.125</v>
      </c>
      <c r="I92" s="1087">
        <v>-0.25</v>
      </c>
      <c r="J92" s="1087" t="s">
        <v>14</v>
      </c>
      <c r="K92" s="1087" t="s">
        <v>14</v>
      </c>
      <c r="L92" s="1087" t="s">
        <v>14</v>
      </c>
      <c r="M92" s="1086" t="s">
        <v>14</v>
      </c>
      <c r="N92"/>
      <c r="O92" s="1327"/>
    </row>
    <row r="93" spans="1:15" s="936" customFormat="1">
      <c r="A93" s="1082"/>
      <c r="B93" s="1772" t="s">
        <v>47</v>
      </c>
      <c r="C93" s="1855" t="s">
        <v>453</v>
      </c>
      <c r="D93" s="1856"/>
      <c r="E93" s="1092">
        <v>-0.75</v>
      </c>
      <c r="F93" s="1091">
        <v>-0.75</v>
      </c>
      <c r="G93" s="1091">
        <v>-0.75</v>
      </c>
      <c r="H93" s="1091">
        <v>-0.875</v>
      </c>
      <c r="I93" s="1091">
        <v>-1</v>
      </c>
      <c r="J93" s="1091">
        <v>-1.125</v>
      </c>
      <c r="K93" s="1091">
        <v>-1.25</v>
      </c>
      <c r="L93" s="1091">
        <v>-1.375</v>
      </c>
      <c r="M93" s="1090">
        <v>-1.5</v>
      </c>
      <c r="N93"/>
      <c r="O93" s="1327"/>
    </row>
    <row r="94" spans="1:15" s="936" customFormat="1">
      <c r="A94" s="1082"/>
      <c r="B94" s="1760"/>
      <c r="C94" s="1853" t="s">
        <v>126</v>
      </c>
      <c r="D94" s="1854"/>
      <c r="E94" s="1095">
        <v>-0.25</v>
      </c>
      <c r="F94" s="1094">
        <v>-0.25</v>
      </c>
      <c r="G94" s="1094">
        <v>-0.25</v>
      </c>
      <c r="H94" s="1094">
        <v>-0.25</v>
      </c>
      <c r="I94" s="1094">
        <v>-0.5</v>
      </c>
      <c r="J94" s="1094">
        <v>-0.5</v>
      </c>
      <c r="K94" s="1094">
        <v>-0.5</v>
      </c>
      <c r="L94" s="1094">
        <v>-0.75</v>
      </c>
      <c r="M94" s="1093">
        <v>-0.875</v>
      </c>
      <c r="N94"/>
      <c r="O94" s="1327"/>
    </row>
    <row r="95" spans="1:15" s="936" customFormat="1">
      <c r="A95" s="1082"/>
      <c r="B95" s="1760"/>
      <c r="C95" s="1853" t="s">
        <v>48</v>
      </c>
      <c r="D95" s="1854"/>
      <c r="E95" s="1095">
        <v>0</v>
      </c>
      <c r="F95" s="1094">
        <v>0</v>
      </c>
      <c r="G95" s="1094">
        <v>0</v>
      </c>
      <c r="H95" s="1094">
        <v>0</v>
      </c>
      <c r="I95" s="1094">
        <v>0</v>
      </c>
      <c r="J95" s="1094">
        <v>0</v>
      </c>
      <c r="K95" s="1094">
        <v>0</v>
      </c>
      <c r="L95" s="1094">
        <v>0</v>
      </c>
      <c r="M95" s="1093">
        <v>0</v>
      </c>
      <c r="N95"/>
      <c r="O95" s="1327"/>
    </row>
    <row r="96" spans="1:15" s="936" customFormat="1" ht="15" customHeight="1">
      <c r="A96" s="1082"/>
      <c r="B96" s="1760"/>
      <c r="C96" s="1853" t="s">
        <v>49</v>
      </c>
      <c r="D96" s="1854"/>
      <c r="E96" s="1095">
        <v>0.125</v>
      </c>
      <c r="F96" s="1094">
        <v>0.125</v>
      </c>
      <c r="G96" s="1094">
        <v>0.125</v>
      </c>
      <c r="H96" s="1094">
        <v>0.125</v>
      </c>
      <c r="I96" s="1094">
        <v>0.125</v>
      </c>
      <c r="J96" s="1094">
        <v>0.125</v>
      </c>
      <c r="K96" s="1094">
        <v>0.125</v>
      </c>
      <c r="L96" s="1094">
        <v>0</v>
      </c>
      <c r="M96" s="1093">
        <v>0</v>
      </c>
      <c r="N96"/>
      <c r="O96" s="1327"/>
    </row>
    <row r="97" spans="1:15" s="936" customFormat="1">
      <c r="A97" s="1082"/>
      <c r="B97" s="1760"/>
      <c r="C97" s="1853" t="s">
        <v>50</v>
      </c>
      <c r="D97" s="1854"/>
      <c r="E97" s="1095">
        <v>0.125</v>
      </c>
      <c r="F97" s="1094">
        <v>0.125</v>
      </c>
      <c r="G97" s="1094">
        <v>0.125</v>
      </c>
      <c r="H97" s="1094">
        <v>0.125</v>
      </c>
      <c r="I97" s="1094">
        <v>0.125</v>
      </c>
      <c r="J97" s="1094">
        <v>0.125</v>
      </c>
      <c r="K97" s="1094">
        <v>0</v>
      </c>
      <c r="L97" s="1094">
        <v>0</v>
      </c>
      <c r="M97" s="1093">
        <v>-0.25</v>
      </c>
      <c r="N97"/>
      <c r="O97" s="1327"/>
    </row>
    <row r="98" spans="1:15" s="936" customFormat="1">
      <c r="A98" s="1082"/>
      <c r="B98" s="1760"/>
      <c r="C98" s="1853" t="s">
        <v>51</v>
      </c>
      <c r="D98" s="1854"/>
      <c r="E98" s="1095">
        <v>0</v>
      </c>
      <c r="F98" s="1094">
        <v>0</v>
      </c>
      <c r="G98" s="1094">
        <v>0</v>
      </c>
      <c r="H98" s="1094">
        <v>0</v>
      </c>
      <c r="I98" s="1094">
        <v>0</v>
      </c>
      <c r="J98" s="1094">
        <v>0</v>
      </c>
      <c r="K98" s="1094">
        <v>0</v>
      </c>
      <c r="L98" s="1094">
        <v>-0.25</v>
      </c>
      <c r="M98" s="1093">
        <v>-1.5</v>
      </c>
      <c r="N98"/>
      <c r="O98" s="1327"/>
    </row>
    <row r="99" spans="1:15" s="936" customFormat="1">
      <c r="A99" s="1082"/>
      <c r="B99" s="1760"/>
      <c r="C99" s="1853" t="s">
        <v>52</v>
      </c>
      <c r="D99" s="1854"/>
      <c r="E99" s="1095">
        <v>0</v>
      </c>
      <c r="F99" s="1094">
        <v>0</v>
      </c>
      <c r="G99" s="1094">
        <v>-0.125</v>
      </c>
      <c r="H99" s="1094">
        <v>-0.125</v>
      </c>
      <c r="I99" s="1094">
        <v>-0.25</v>
      </c>
      <c r="J99" s="1094">
        <v>-0.25</v>
      </c>
      <c r="K99" s="1094">
        <v>-0.375</v>
      </c>
      <c r="L99" s="1094" t="s">
        <v>14</v>
      </c>
      <c r="M99" s="1093" t="s">
        <v>14</v>
      </c>
      <c r="N99"/>
      <c r="O99" s="1327"/>
    </row>
    <row r="100" spans="1:15" s="936" customFormat="1">
      <c r="A100" s="1082"/>
      <c r="B100" s="1760"/>
      <c r="C100" s="1853" t="s">
        <v>53</v>
      </c>
      <c r="D100" s="1854"/>
      <c r="E100" s="1095">
        <v>-0.625</v>
      </c>
      <c r="F100" s="1094">
        <v>-0.625</v>
      </c>
      <c r="G100" s="1094">
        <v>-0.625</v>
      </c>
      <c r="H100" s="1094">
        <v>-0.625</v>
      </c>
      <c r="I100" s="1094">
        <v>-1</v>
      </c>
      <c r="J100" s="1094">
        <v>-1.5</v>
      </c>
      <c r="K100" s="1094">
        <v>-1.5</v>
      </c>
      <c r="L100" s="1094" t="s">
        <v>14</v>
      </c>
      <c r="M100" s="1093" t="s">
        <v>14</v>
      </c>
      <c r="N100"/>
      <c r="O100" s="1327"/>
    </row>
    <row r="101" spans="1:15" s="936" customFormat="1">
      <c r="A101" s="1082"/>
      <c r="B101" s="1760"/>
      <c r="C101" s="1853" t="s">
        <v>54</v>
      </c>
      <c r="D101" s="1854"/>
      <c r="E101" s="1095">
        <v>-1</v>
      </c>
      <c r="F101" s="1094">
        <v>-1</v>
      </c>
      <c r="G101" s="1094">
        <v>-1</v>
      </c>
      <c r="H101" s="1094">
        <v>-1.5</v>
      </c>
      <c r="I101" s="1094">
        <v>-2</v>
      </c>
      <c r="J101" s="1094" t="s">
        <v>14</v>
      </c>
      <c r="K101" s="1094" t="s">
        <v>14</v>
      </c>
      <c r="L101" s="1094" t="s">
        <v>14</v>
      </c>
      <c r="M101" s="1093" t="s">
        <v>14</v>
      </c>
      <c r="N101"/>
      <c r="O101" s="1327"/>
    </row>
    <row r="102" spans="1:15" s="936" customFormat="1" ht="15.75" thickBot="1">
      <c r="A102" s="1082"/>
      <c r="B102" s="1773"/>
      <c r="C102" s="1851" t="s">
        <v>55</v>
      </c>
      <c r="D102" s="1852"/>
      <c r="E102" s="1157">
        <v>-2</v>
      </c>
      <c r="F102" s="1156">
        <v>-2</v>
      </c>
      <c r="G102" s="1156">
        <v>-2</v>
      </c>
      <c r="H102" s="1156">
        <v>-2</v>
      </c>
      <c r="I102" s="1156">
        <v>-2.25</v>
      </c>
      <c r="J102" s="1156" t="s">
        <v>14</v>
      </c>
      <c r="K102" s="1156" t="s">
        <v>14</v>
      </c>
      <c r="L102" s="1156" t="s">
        <v>14</v>
      </c>
      <c r="M102" s="1155" t="s">
        <v>14</v>
      </c>
      <c r="N102"/>
      <c r="O102" s="1327"/>
    </row>
    <row r="103" spans="1:15" s="936" customFormat="1">
      <c r="A103" s="1082"/>
      <c r="B103" s="1772" t="s">
        <v>56</v>
      </c>
      <c r="C103" s="1855" t="s">
        <v>57</v>
      </c>
      <c r="D103" s="1856"/>
      <c r="E103" s="1092">
        <v>0</v>
      </c>
      <c r="F103" s="1091">
        <v>0</v>
      </c>
      <c r="G103" s="1091">
        <v>0</v>
      </c>
      <c r="H103" s="1091">
        <v>0</v>
      </c>
      <c r="I103" s="1091">
        <v>0</v>
      </c>
      <c r="J103" s="1091">
        <v>0</v>
      </c>
      <c r="K103" s="1091">
        <v>0</v>
      </c>
      <c r="L103" s="1091">
        <v>0</v>
      </c>
      <c r="M103" s="1090">
        <v>0</v>
      </c>
      <c r="N103"/>
      <c r="O103" s="1327"/>
    </row>
    <row r="104" spans="1:15" s="936" customFormat="1">
      <c r="A104" s="1082"/>
      <c r="B104" s="1760"/>
      <c r="C104" s="1853" t="s">
        <v>58</v>
      </c>
      <c r="D104" s="1854"/>
      <c r="E104" s="1095">
        <v>0</v>
      </c>
      <c r="F104" s="1094">
        <v>0</v>
      </c>
      <c r="G104" s="1094">
        <v>0</v>
      </c>
      <c r="H104" s="1094">
        <v>0</v>
      </c>
      <c r="I104" s="1094">
        <v>0</v>
      </c>
      <c r="J104" s="1094">
        <v>0</v>
      </c>
      <c r="K104" s="1094">
        <v>-0.125</v>
      </c>
      <c r="L104" s="1094">
        <v>-0.375</v>
      </c>
      <c r="M104" s="1093" t="s">
        <v>14</v>
      </c>
      <c r="N104"/>
      <c r="O104" s="1327"/>
    </row>
    <row r="105" spans="1:15" s="936" customFormat="1" ht="15.75" thickBot="1">
      <c r="A105" s="1082"/>
      <c r="B105" s="1773"/>
      <c r="C105" s="1851" t="s">
        <v>59</v>
      </c>
      <c r="D105" s="1852"/>
      <c r="E105" s="1157">
        <v>-0.25</v>
      </c>
      <c r="F105" s="1156">
        <v>-0.25</v>
      </c>
      <c r="G105" s="1156">
        <v>-0.375</v>
      </c>
      <c r="H105" s="1156">
        <v>-0.5</v>
      </c>
      <c r="I105" s="1156">
        <v>-0.75</v>
      </c>
      <c r="J105" s="1156">
        <v>-0.875</v>
      </c>
      <c r="K105" s="1156">
        <v>-1.25</v>
      </c>
      <c r="L105" s="1156" t="s">
        <v>14</v>
      </c>
      <c r="M105" s="1155" t="s">
        <v>14</v>
      </c>
      <c r="N105"/>
      <c r="O105" s="1327"/>
    </row>
    <row r="106" spans="1:15" s="936" customFormat="1">
      <c r="A106" s="1082"/>
      <c r="B106" s="1772" t="s">
        <v>60</v>
      </c>
      <c r="C106" s="1855" t="s">
        <v>29</v>
      </c>
      <c r="D106" s="1856"/>
      <c r="E106" s="1092">
        <v>0</v>
      </c>
      <c r="F106" s="1091">
        <v>0</v>
      </c>
      <c r="G106" s="1091">
        <v>0</v>
      </c>
      <c r="H106" s="1091">
        <v>-0.125</v>
      </c>
      <c r="I106" s="1091">
        <v>-0.25</v>
      </c>
      <c r="J106" s="1091">
        <v>-0.25</v>
      </c>
      <c r="K106" s="1091">
        <v>-0.25</v>
      </c>
      <c r="L106" s="1091">
        <v>-0.5</v>
      </c>
      <c r="M106" s="1090" t="s">
        <v>14</v>
      </c>
      <c r="N106"/>
      <c r="O106" s="1327"/>
    </row>
    <row r="107" spans="1:15" s="936" customFormat="1" ht="15.75" thickBot="1">
      <c r="A107" s="1082"/>
      <c r="B107" s="1773"/>
      <c r="C107" s="1851" t="s">
        <v>61</v>
      </c>
      <c r="D107" s="1852"/>
      <c r="E107" s="1157">
        <v>0</v>
      </c>
      <c r="F107" s="1156">
        <v>0</v>
      </c>
      <c r="G107" s="1156">
        <v>0</v>
      </c>
      <c r="H107" s="1156">
        <v>-0.125</v>
      </c>
      <c r="I107" s="1156">
        <v>-0.25</v>
      </c>
      <c r="J107" s="1156">
        <v>-0.25</v>
      </c>
      <c r="K107" s="1156">
        <v>-0.25</v>
      </c>
      <c r="L107" s="1156">
        <v>-1.625</v>
      </c>
      <c r="M107" s="1155" t="s">
        <v>14</v>
      </c>
      <c r="N107"/>
      <c r="O107" s="1327"/>
    </row>
    <row r="108" spans="1:15" s="936" customFormat="1">
      <c r="A108" s="1082"/>
      <c r="B108" s="1772" t="s">
        <v>62</v>
      </c>
      <c r="C108" s="1855" t="s">
        <v>63</v>
      </c>
      <c r="D108" s="1856"/>
      <c r="E108" s="1092">
        <v>-0.125</v>
      </c>
      <c r="F108" s="1091">
        <v>-0.125</v>
      </c>
      <c r="G108" s="1091">
        <v>-0.125</v>
      </c>
      <c r="H108" s="1091">
        <v>-0.125</v>
      </c>
      <c r="I108" s="1091">
        <v>-0.25</v>
      </c>
      <c r="J108" s="1091">
        <v>-0.375</v>
      </c>
      <c r="K108" s="1091">
        <v>-0.5</v>
      </c>
      <c r="L108" s="1091">
        <v>-0.75</v>
      </c>
      <c r="M108" s="1090">
        <v>-1.25</v>
      </c>
      <c r="N108"/>
      <c r="O108" s="1327"/>
    </row>
    <row r="109" spans="1:15" s="936" customFormat="1">
      <c r="A109" s="1082"/>
      <c r="B109" s="1760"/>
      <c r="C109" s="1853" t="s">
        <v>182</v>
      </c>
      <c r="D109" s="1854"/>
      <c r="E109" s="1095">
        <v>-1.375</v>
      </c>
      <c r="F109" s="1094">
        <v>-1.375</v>
      </c>
      <c r="G109" s="1094">
        <v>-1.375</v>
      </c>
      <c r="H109" s="1094">
        <v>-1.375</v>
      </c>
      <c r="I109" s="1094">
        <v>-1.375</v>
      </c>
      <c r="J109" s="1094">
        <v>-1.375</v>
      </c>
      <c r="K109" s="1094">
        <v>-1.375</v>
      </c>
      <c r="L109" s="1094">
        <v>-1.375</v>
      </c>
      <c r="M109" s="1093" t="s">
        <v>14</v>
      </c>
      <c r="N109"/>
      <c r="O109" s="1327"/>
    </row>
    <row r="110" spans="1:15" s="936" customFormat="1" ht="15.75" thickBot="1">
      <c r="A110" s="1082"/>
      <c r="B110" s="1773"/>
      <c r="C110" s="1851" t="s">
        <v>64</v>
      </c>
      <c r="D110" s="1852"/>
      <c r="E110" s="1157">
        <v>-0.25</v>
      </c>
      <c r="F110" s="1156">
        <v>-0.25</v>
      </c>
      <c r="G110" s="1156">
        <v>-0.25</v>
      </c>
      <c r="H110" s="1156">
        <v>-0.25</v>
      </c>
      <c r="I110" s="1156">
        <v>-0.375</v>
      </c>
      <c r="J110" s="1156">
        <v>-0.375</v>
      </c>
      <c r="K110" s="1156">
        <v>-0.5</v>
      </c>
      <c r="L110" s="1156">
        <v>-0.5</v>
      </c>
      <c r="M110" s="1155">
        <v>-1</v>
      </c>
      <c r="N110"/>
      <c r="O110" s="1327"/>
    </row>
    <row r="111" spans="1:15" s="936" customFormat="1" ht="15.75" thickBot="1">
      <c r="A111" s="1082"/>
      <c r="B111" s="1272" t="s">
        <v>65</v>
      </c>
      <c r="C111" s="1860" t="s">
        <v>202</v>
      </c>
      <c r="D111" s="1861"/>
      <c r="E111" s="1215">
        <v>-0.25</v>
      </c>
      <c r="F111" s="1216">
        <v>-0.25</v>
      </c>
      <c r="G111" s="1216">
        <v>-0.25</v>
      </c>
      <c r="H111" s="1216">
        <v>-0.25</v>
      </c>
      <c r="I111" s="1216">
        <v>-0.25</v>
      </c>
      <c r="J111" s="1216">
        <v>-0.25</v>
      </c>
      <c r="K111" s="1216">
        <v>-0.25</v>
      </c>
      <c r="L111" s="1216">
        <v>-0.25</v>
      </c>
      <c r="M111" s="1217">
        <v>-0.25</v>
      </c>
      <c r="N111"/>
      <c r="O111" s="1327"/>
    </row>
    <row r="112" spans="1:15" s="936" customFormat="1">
      <c r="A112" s="1082"/>
      <c r="B112" s="1772" t="s">
        <v>136</v>
      </c>
      <c r="C112" s="1855" t="s">
        <v>66</v>
      </c>
      <c r="D112" s="1856"/>
      <c r="E112" s="1092">
        <v>-0.25</v>
      </c>
      <c r="F112" s="1091">
        <v>-0.25</v>
      </c>
      <c r="G112" s="1091">
        <v>-0.25</v>
      </c>
      <c r="H112" s="1091">
        <v>-0.375</v>
      </c>
      <c r="I112" s="1091">
        <v>-0.5</v>
      </c>
      <c r="J112" s="1091">
        <v>-0.5</v>
      </c>
      <c r="K112" s="1091">
        <v>-0.75</v>
      </c>
      <c r="L112" s="1091">
        <v>-1</v>
      </c>
      <c r="M112" s="1090">
        <v>-1.25</v>
      </c>
      <c r="N112"/>
      <c r="O112" s="1327"/>
    </row>
    <row r="113" spans="1:15" s="936" customFormat="1" ht="15.75" thickBot="1">
      <c r="A113" s="1082"/>
      <c r="B113" s="1773"/>
      <c r="C113" s="1851" t="s">
        <v>67</v>
      </c>
      <c r="D113" s="1852"/>
      <c r="E113" s="1157">
        <v>-0.25</v>
      </c>
      <c r="F113" s="1156">
        <v>-0.25</v>
      </c>
      <c r="G113" s="1156">
        <v>-0.25</v>
      </c>
      <c r="H113" s="1156">
        <v>-0.375</v>
      </c>
      <c r="I113" s="1156">
        <v>-0.5</v>
      </c>
      <c r="J113" s="1156">
        <v>-0.5</v>
      </c>
      <c r="K113" s="1156">
        <v>-0.75</v>
      </c>
      <c r="L113" s="1156" t="s">
        <v>14</v>
      </c>
      <c r="M113" s="1155" t="s">
        <v>14</v>
      </c>
      <c r="N113"/>
      <c r="O113" s="1327"/>
    </row>
    <row r="114" spans="1:15" s="936" customFormat="1" ht="15.75" thickBot="1">
      <c r="A114" s="1082"/>
      <c r="B114" s="1193" t="s">
        <v>68</v>
      </c>
      <c r="C114" s="1859" t="s">
        <v>69</v>
      </c>
      <c r="D114" s="1858"/>
      <c r="E114" s="1088">
        <v>-0.125</v>
      </c>
      <c r="F114" s="1087">
        <v>-0.125</v>
      </c>
      <c r="G114" s="1087">
        <v>-0.125</v>
      </c>
      <c r="H114" s="1087">
        <v>-0.125</v>
      </c>
      <c r="I114" s="1087">
        <v>-0.125</v>
      </c>
      <c r="J114" s="1087">
        <v>-0.125</v>
      </c>
      <c r="K114" s="1087">
        <v>-0.125</v>
      </c>
      <c r="L114" s="1087" t="s">
        <v>14</v>
      </c>
      <c r="M114" s="1086" t="s">
        <v>14</v>
      </c>
      <c r="N114"/>
      <c r="O114" s="1327"/>
    </row>
    <row r="115" spans="1:15" s="936" customFormat="1" ht="15.75" thickBot="1">
      <c r="A115" s="1082"/>
      <c r="B115" s="1192" t="s">
        <v>133</v>
      </c>
      <c r="C115" s="1857" t="s">
        <v>465</v>
      </c>
      <c r="D115" s="1858"/>
      <c r="E115" s="1088">
        <v>0</v>
      </c>
      <c r="F115" s="1087">
        <v>0</v>
      </c>
      <c r="G115" s="1087">
        <v>0</v>
      </c>
      <c r="H115" s="1087">
        <v>0</v>
      </c>
      <c r="I115" s="1087">
        <v>0</v>
      </c>
      <c r="J115" s="1087">
        <v>0</v>
      </c>
      <c r="K115" s="1087">
        <v>0</v>
      </c>
      <c r="L115" s="1087">
        <v>-0.25</v>
      </c>
      <c r="M115" s="1086">
        <v>-0.25</v>
      </c>
      <c r="N115"/>
      <c r="O115" s="1327"/>
    </row>
    <row r="116" spans="1:15" s="936" customFormat="1">
      <c r="A116" s="1082"/>
      <c r="N116"/>
      <c r="O116" s="1327"/>
    </row>
    <row r="117" spans="1:15" s="936" customFormat="1" ht="15" customHeight="1">
      <c r="A117" s="1082"/>
      <c r="N117"/>
      <c r="O117" s="1327"/>
    </row>
    <row r="118" spans="1:15" s="936" customFormat="1" ht="15" customHeight="1">
      <c r="A118" s="1082"/>
      <c r="N118"/>
      <c r="O118" s="1327"/>
    </row>
    <row r="119" spans="1:15" s="936" customFormat="1" ht="15" customHeight="1">
      <c r="A119" s="1082"/>
      <c r="N119"/>
      <c r="O119" s="1327"/>
    </row>
    <row r="120" spans="1:15" s="936" customFormat="1" ht="15" customHeight="1">
      <c r="A120" s="1082"/>
      <c r="N120"/>
      <c r="O120" s="1327"/>
    </row>
    <row r="121" spans="1:15" s="936" customFormat="1" ht="15" customHeight="1">
      <c r="A121" s="1082"/>
      <c r="N121"/>
      <c r="O121" s="1327"/>
    </row>
    <row r="122" spans="1:15" s="936" customFormat="1" ht="15" customHeight="1">
      <c r="A122" s="1082"/>
      <c r="N122"/>
      <c r="O122" s="1327"/>
    </row>
    <row r="123" spans="1:15" s="936" customFormat="1">
      <c r="A123" s="1082"/>
      <c r="N123"/>
      <c r="O123" s="1327"/>
    </row>
    <row r="124" spans="1:15" s="936" customFormat="1">
      <c r="A124" s="1082"/>
      <c r="N124"/>
      <c r="O124" s="1327"/>
    </row>
    <row r="125" spans="1:15" s="936" customFormat="1">
      <c r="A125" s="1082"/>
      <c r="O125" s="1327"/>
    </row>
    <row r="126" spans="1:15" s="936" customFormat="1">
      <c r="A126" s="1082"/>
      <c r="G126" s="1081"/>
      <c r="H126" s="1080"/>
      <c r="O126" s="1327"/>
    </row>
    <row r="127" spans="1:15" s="936" customFormat="1" ht="15" customHeight="1">
      <c r="A127" s="942"/>
      <c r="B127" s="1425"/>
      <c r="C127" s="1425"/>
      <c r="D127" s="1425"/>
      <c r="E127" s="1425"/>
      <c r="F127" s="1425"/>
      <c r="G127" s="1425"/>
      <c r="H127" s="1425"/>
      <c r="I127" s="1425"/>
      <c r="J127" s="1425"/>
      <c r="K127" s="1425"/>
      <c r="L127" s="1425"/>
      <c r="M127" s="1425"/>
      <c r="N127" s="1420"/>
      <c r="O127" s="1327"/>
    </row>
    <row r="128" spans="1:15" s="936" customFormat="1">
      <c r="A128" s="942"/>
      <c r="B128" s="1425"/>
      <c r="C128" s="1425"/>
      <c r="D128" s="1425"/>
      <c r="E128" s="1425"/>
      <c r="F128" s="1425"/>
      <c r="G128" s="1425"/>
      <c r="H128" s="1425"/>
      <c r="I128" s="1425"/>
      <c r="J128" s="1425"/>
      <c r="K128" s="1425"/>
      <c r="L128" s="1425"/>
      <c r="M128" s="1425"/>
      <c r="N128" s="1420"/>
      <c r="O128" s="1327"/>
    </row>
    <row r="129" spans="1:15" s="936" customFormat="1">
      <c r="A129" s="942"/>
      <c r="B129" s="1425"/>
      <c r="C129" s="1425"/>
      <c r="D129" s="1425"/>
      <c r="E129" s="1425"/>
      <c r="F129" s="1425"/>
      <c r="G129" s="1425"/>
      <c r="H129" s="1425"/>
      <c r="I129" s="1425"/>
      <c r="J129" s="1425"/>
      <c r="K129" s="1425"/>
      <c r="L129" s="1425"/>
      <c r="M129" s="1425"/>
      <c r="N129" s="1420"/>
      <c r="O129" s="1327"/>
    </row>
    <row r="130" spans="1:15" s="936" customFormat="1" ht="15.75" thickBot="1">
      <c r="A130" s="939"/>
      <c r="B130" s="1424"/>
      <c r="C130" s="1424"/>
      <c r="D130" s="1424"/>
      <c r="E130" s="1424"/>
      <c r="F130" s="1424"/>
      <c r="G130" s="1424"/>
      <c r="H130" s="1424"/>
      <c r="I130" s="1424"/>
      <c r="J130" s="1424"/>
      <c r="K130" s="1424"/>
      <c r="L130" s="1424"/>
      <c r="M130" s="1424"/>
      <c r="N130" s="1351"/>
      <c r="O130" s="1466"/>
    </row>
  </sheetData>
  <mergeCells count="91"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C99:D99"/>
    <mergeCell ref="C98:D98"/>
    <mergeCell ref="C95:D95"/>
    <mergeCell ref="C94:D94"/>
    <mergeCell ref="C93:D93"/>
    <mergeCell ref="C97:D97"/>
    <mergeCell ref="C96:D96"/>
    <mergeCell ref="C115:D115"/>
    <mergeCell ref="C114:D114"/>
    <mergeCell ref="C113:D113"/>
    <mergeCell ref="C112:D112"/>
    <mergeCell ref="C111:D111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E83:M83"/>
    <mergeCell ref="E53:M53"/>
    <mergeCell ref="L33:N34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C58:D58"/>
    <mergeCell ref="C56:D56"/>
    <mergeCell ref="G13:G14"/>
    <mergeCell ref="H13:J13"/>
    <mergeCell ref="A10:O11"/>
    <mergeCell ref="L14:M14"/>
    <mergeCell ref="B13:B14"/>
    <mergeCell ref="C13:E13"/>
    <mergeCell ref="L35:N36"/>
    <mergeCell ref="L37:N38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margins!$R$202:$R$204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margins!$R$199:$R$200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margins!$R$206:$R$212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margins!$R$217:$R$219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margins!$R$214:$R$215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margins!$R$195:$R$197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margins!$R$232:$R$233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margins!$R$229:$R$230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margins!$R$225:$R$227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margins!$R$128:$R$138</xm:f>
          </x14:formula1>
          <xm:sqref>R26</xm:sqref>
        </x14:dataValidation>
        <x14:dataValidation type="list" allowBlank="1" showInputMessage="1" showErrorMessage="1" xr:uid="{53104E81-7762-43AE-902D-5638E2723948}">
          <x14:formula1>
            <xm:f>margins!$R$140:$R$142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margins!$R$149:$R$152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margins!$R$144:$R$147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margins!$R$159:$R$162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margins!$R$178:$R$179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margins!$R$171:$R$176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margins!$R$164:$R$169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margins!$R$154:$R$157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margins!$R$184:$R$193</xm:f>
          </x14:formula1>
          <xm:sqref>R18</xm:sqref>
        </x14:dataValidation>
        <x14:dataValidation type="list" allowBlank="1" showInputMessage="1" showErrorMessage="1" xr:uid="{EA554239-95F1-43F9-9037-3C6155218DEA}">
          <x14:formula1>
            <xm:f>margins!$R$235:$R$238</xm:f>
          </x14:formula1>
          <xm:sqref>R36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48A5A8-4C75-4B78-AED9-A12B1D3429D5}"/>
</file>

<file path=customXml/itemProps2.xml><?xml version="1.0" encoding="utf-8"?>
<ds:datastoreItem xmlns:ds="http://schemas.openxmlformats.org/officeDocument/2006/customXml" ds:itemID="{C3DE1C79-6A5A-45BB-BC16-6B2FDAA87CFE}"/>
</file>

<file path=customXml/itemProps3.xml><?xml version="1.0" encoding="utf-8"?>
<ds:datastoreItem xmlns:ds="http://schemas.openxmlformats.org/officeDocument/2006/customXml" ds:itemID="{A882F345-7302-416B-9F2C-A0B8751D1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2ndOOTest</vt:lpstr>
      <vt:lpstr>2ndOO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Michael Falce</cp:lastModifiedBy>
  <cp:lastPrinted>2026-07-20T15:38:33Z</cp:lastPrinted>
  <dcterms:created xsi:type="dcterms:W3CDTF">2022-07-12T22:36:37Z</dcterms:created>
  <dcterms:modified xsi:type="dcterms:W3CDTF">2026-07-20T15:38:46Z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