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C433E8D6-38E8-4978-80BA-E11F2E9592D9}" xr6:coauthVersionLast="47" xr6:coauthVersionMax="47" xr10:uidLastSave="{00000000-0000-0000-0000-000000000000}"/>
  <workbookProtection workbookAlgorithmName="SHA-512" workbookHashValue="fzGc5A3PTCWguItFJhWZLONC/gS7K8rck+WJSpMuefhqeQhwcxU8R7TYFVa9jwtldZDCYptjgKTIF9el+tp2BA==" workbookSaltValue="WzaxCQy/GgHfDofSOGu/Yg==" workbookSpinCount="100000" lockStructure="1"/>
  <bookViews>
    <workbookView xWindow="28680" yWindow="-120" windowWidth="29040" windowHeight="1584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" sheetId="11" r:id="rId13"/>
    <sheet name="2ndOOTest" sheetId="46" state="hidden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'2ndNOO'!$B$2:$N$74</definedName>
    <definedName name="_xlnm.Print_Area" localSheetId="15">'2ndNOOTest'!$A$1:$M$137</definedName>
    <definedName name="_xlnm.Print_Area" localSheetId="12">'2ndOO'!$B$2:$P$76</definedName>
    <definedName name="_xlnm.Print_Area" localSheetId="13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'NONI58+'!$A$2:$L$55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theBlanket!$A$2:$I$73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3" i="2" l="1"/>
  <c r="CJ3" i="2"/>
  <c r="BW4" i="2"/>
  <c r="BO3" i="2"/>
  <c r="BK3" i="2"/>
  <c r="BS3" i="2"/>
  <c r="AX2" i="2"/>
  <c r="AA3" i="2"/>
  <c r="S36" i="36" l="1"/>
  <c r="BZ4" i="2"/>
  <c r="BY4" i="2"/>
  <c r="BX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AI3" i="2" l="1"/>
  <c r="AE3" i="2"/>
  <c r="AF3" i="2" s="1"/>
  <c r="AB3" i="2"/>
  <c r="AY2" i="2" l="1"/>
  <c r="B14" i="47" l="1"/>
  <c r="AB30" i="2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38" i="2" l="1"/>
  <c r="AR38" i="2" s="1"/>
  <c r="B15" i="33"/>
  <c r="AM42" i="2"/>
  <c r="AR42" i="2" s="1"/>
  <c r="B19" i="33"/>
  <c r="AM46" i="2"/>
  <c r="AR46" i="2" s="1"/>
  <c r="B23" i="33"/>
  <c r="AM50" i="2"/>
  <c r="AR50" i="2" s="1"/>
  <c r="B27" i="33"/>
  <c r="AM54" i="2"/>
  <c r="AR54" i="2" s="1"/>
  <c r="B31" i="33"/>
  <c r="AM58" i="2"/>
  <c r="AR58" i="2" s="1"/>
  <c r="B35" i="33"/>
  <c r="AM62" i="2"/>
  <c r="AR62" i="2" s="1"/>
  <c r="B39" i="33"/>
  <c r="AM39" i="2"/>
  <c r="AR39" i="2" s="1"/>
  <c r="B16" i="33"/>
  <c r="AM43" i="2"/>
  <c r="AR43" i="2" s="1"/>
  <c r="B20" i="33"/>
  <c r="AM47" i="2"/>
  <c r="AR47" i="2" s="1"/>
  <c r="B24" i="33"/>
  <c r="AM51" i="2"/>
  <c r="AR51" i="2" s="1"/>
  <c r="B28" i="33"/>
  <c r="AM55" i="2"/>
  <c r="AR55" i="2" s="1"/>
  <c r="B32" i="33"/>
  <c r="AM59" i="2"/>
  <c r="AR59" i="2" s="1"/>
  <c r="B36" i="33"/>
  <c r="AM63" i="2"/>
  <c r="AR63" i="2" s="1"/>
  <c r="B40" i="33"/>
  <c r="AM40" i="2"/>
  <c r="AR40" i="2" s="1"/>
  <c r="B17" i="33"/>
  <c r="AM44" i="2"/>
  <c r="AR44" i="2" s="1"/>
  <c r="B21" i="33"/>
  <c r="AM48" i="2"/>
  <c r="AR48" i="2" s="1"/>
  <c r="B25" i="33"/>
  <c r="AM52" i="2"/>
  <c r="AR52" i="2" s="1"/>
  <c r="B29" i="33"/>
  <c r="AM56" i="2"/>
  <c r="AR56" i="2" s="1"/>
  <c r="B33" i="33"/>
  <c r="AM60" i="2"/>
  <c r="AR60" i="2" s="1"/>
  <c r="B37" i="33"/>
  <c r="AM64" i="2"/>
  <c r="AR64" i="2" s="1"/>
  <c r="B41" i="33"/>
  <c r="AM37" i="2"/>
  <c r="AR37" i="2" s="1"/>
  <c r="B14" i="33"/>
  <c r="AM41" i="2"/>
  <c r="AR41" i="2" s="1"/>
  <c r="B18" i="33"/>
  <c r="AM45" i="2"/>
  <c r="AR45" i="2" s="1"/>
  <c r="B22" i="33"/>
  <c r="AM49" i="2"/>
  <c r="AR49" i="2" s="1"/>
  <c r="B26" i="33"/>
  <c r="AM53" i="2"/>
  <c r="AR53" i="2" s="1"/>
  <c r="B30" i="33"/>
  <c r="AM57" i="2"/>
  <c r="AR57" i="2" s="1"/>
  <c r="B34" i="33"/>
  <c r="AM61" i="2"/>
  <c r="AR61" i="2" s="1"/>
  <c r="B38" i="33"/>
  <c r="AM65" i="2"/>
  <c r="AR65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AS2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AD3" i="2"/>
  <c r="B15" i="36"/>
  <c r="AD7" i="2"/>
  <c r="AD19" i="2"/>
  <c r="AD4" i="2"/>
  <c r="AD15" i="2"/>
  <c r="AD27" i="2"/>
  <c r="AD12" i="2"/>
  <c r="AD24" i="2"/>
  <c r="AD5" i="2"/>
  <c r="AD17" i="2"/>
  <c r="AD25" i="2"/>
  <c r="AD11" i="2"/>
  <c r="AD23" i="2"/>
  <c r="AD8" i="2"/>
  <c r="AD16" i="2"/>
  <c r="AD20" i="2"/>
  <c r="AD28" i="2"/>
  <c r="AD9" i="2"/>
  <c r="AD13" i="2"/>
  <c r="AD21" i="2"/>
  <c r="AD6" i="2"/>
  <c r="AD10" i="2"/>
  <c r="AD14" i="2"/>
  <c r="AD18" i="2"/>
  <c r="AD22" i="2"/>
  <c r="AD26" i="2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CS8" i="2"/>
  <c r="CS7" i="2"/>
  <c r="CS6" i="2"/>
  <c r="CS5" i="2"/>
  <c r="CS4" i="2"/>
  <c r="CS3" i="2"/>
  <c r="R24" i="30" l="1"/>
  <c r="CP4" i="2"/>
  <c r="B9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CP5" i="2" l="1"/>
  <c r="C15" i="41"/>
  <c r="D15" i="41"/>
  <c r="C10" i="30"/>
  <c r="B11" i="30"/>
  <c r="B10" i="30"/>
  <c r="C9" i="30"/>
  <c r="C11" i="30"/>
  <c r="CP6" i="2" l="1"/>
  <c r="D16" i="41"/>
  <c r="C16" i="41"/>
  <c r="AB4" i="2"/>
  <c r="AF4" i="2"/>
  <c r="AF5" i="2" s="1"/>
  <c r="AF6" i="2" s="1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E4" i="2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A4" i="2"/>
  <c r="BS4" i="2"/>
  <c r="BS5" i="2" s="1"/>
  <c r="BS6" i="2" s="1"/>
  <c r="BS7" i="2" s="1"/>
  <c r="BS8" i="2" s="1"/>
  <c r="BS9" i="2" s="1"/>
  <c r="BS10" i="2" s="1"/>
  <c r="BS11" i="2" s="1"/>
  <c r="BS12" i="2" s="1"/>
  <c r="BS13" i="2" s="1"/>
  <c r="BS14" i="2" s="1"/>
  <c r="BS15" i="2" s="1"/>
  <c r="BS16" i="2" s="1"/>
  <c r="BS17" i="2" s="1"/>
  <c r="BS18" i="2" s="1"/>
  <c r="BS19" i="2" s="1"/>
  <c r="BS20" i="2" s="1"/>
  <c r="BS21" i="2" s="1"/>
  <c r="BS22" i="2" s="1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AW30" i="2"/>
  <c r="AV30" i="2"/>
  <c r="AW29" i="2"/>
  <c r="AV29" i="2"/>
  <c r="AW28" i="2"/>
  <c r="AV28" i="2"/>
  <c r="AW27" i="2"/>
  <c r="AV27" i="2"/>
  <c r="AW26" i="2"/>
  <c r="AV26" i="2"/>
  <c r="AW25" i="2"/>
  <c r="AV25" i="2"/>
  <c r="AW24" i="2"/>
  <c r="AV24" i="2"/>
  <c r="AW23" i="2"/>
  <c r="AV23" i="2"/>
  <c r="AW22" i="2"/>
  <c r="AV22" i="2"/>
  <c r="AW21" i="2"/>
  <c r="AV21" i="2"/>
  <c r="AW20" i="2"/>
  <c r="AV20" i="2"/>
  <c r="AW19" i="2"/>
  <c r="AV19" i="2"/>
  <c r="AW18" i="2"/>
  <c r="AV18" i="2"/>
  <c r="AW17" i="2"/>
  <c r="AV17" i="2"/>
  <c r="AW16" i="2"/>
  <c r="AV16" i="2"/>
  <c r="AW15" i="2"/>
  <c r="AV15" i="2"/>
  <c r="AW14" i="2"/>
  <c r="AV14" i="2"/>
  <c r="AW13" i="2"/>
  <c r="AV13" i="2"/>
  <c r="AW12" i="2"/>
  <c r="AV12" i="2"/>
  <c r="AW11" i="2"/>
  <c r="AV11" i="2"/>
  <c r="AW10" i="2"/>
  <c r="AV10" i="2"/>
  <c r="AW9" i="2"/>
  <c r="AV9" i="2"/>
  <c r="AW8" i="2"/>
  <c r="AV8" i="2"/>
  <c r="AW7" i="2"/>
  <c r="AV7" i="2"/>
  <c r="AW6" i="2"/>
  <c r="AV6" i="2"/>
  <c r="AW5" i="2"/>
  <c r="AV5" i="2"/>
  <c r="AW4" i="2"/>
  <c r="AV4" i="2"/>
  <c r="AW3" i="2"/>
  <c r="AV3" i="2"/>
  <c r="AW2" i="2"/>
  <c r="AV2" i="2"/>
  <c r="AU30" i="2"/>
  <c r="AT30" i="2"/>
  <c r="AS30" i="2"/>
  <c r="AU29" i="2"/>
  <c r="AT29" i="2"/>
  <c r="AS29" i="2"/>
  <c r="AU28" i="2"/>
  <c r="AT28" i="2"/>
  <c r="AS28" i="2"/>
  <c r="AU27" i="2"/>
  <c r="AT27" i="2"/>
  <c r="AS27" i="2"/>
  <c r="AU26" i="2"/>
  <c r="AT26" i="2"/>
  <c r="AS26" i="2"/>
  <c r="AU25" i="2"/>
  <c r="AT25" i="2"/>
  <c r="AS25" i="2"/>
  <c r="AU24" i="2"/>
  <c r="AT24" i="2"/>
  <c r="AS24" i="2"/>
  <c r="AU23" i="2"/>
  <c r="AT23" i="2"/>
  <c r="AS23" i="2"/>
  <c r="AU22" i="2"/>
  <c r="AT22" i="2"/>
  <c r="AS22" i="2"/>
  <c r="AU21" i="2"/>
  <c r="AT21" i="2"/>
  <c r="AS21" i="2"/>
  <c r="AU20" i="2"/>
  <c r="AT20" i="2"/>
  <c r="AS20" i="2"/>
  <c r="AU19" i="2"/>
  <c r="AT19" i="2"/>
  <c r="AS19" i="2"/>
  <c r="AU18" i="2"/>
  <c r="AT18" i="2"/>
  <c r="AS18" i="2"/>
  <c r="AU17" i="2"/>
  <c r="AT17" i="2"/>
  <c r="AS17" i="2"/>
  <c r="AU16" i="2"/>
  <c r="AT16" i="2"/>
  <c r="AS16" i="2"/>
  <c r="AU15" i="2"/>
  <c r="AT15" i="2"/>
  <c r="AS15" i="2"/>
  <c r="AU14" i="2"/>
  <c r="AT14" i="2"/>
  <c r="AS14" i="2"/>
  <c r="AU13" i="2"/>
  <c r="AT13" i="2"/>
  <c r="AS13" i="2"/>
  <c r="AU12" i="2"/>
  <c r="AT12" i="2"/>
  <c r="AS12" i="2"/>
  <c r="AU11" i="2"/>
  <c r="AT11" i="2"/>
  <c r="AS11" i="2"/>
  <c r="AU10" i="2"/>
  <c r="AT10" i="2"/>
  <c r="AS10" i="2"/>
  <c r="AU9" i="2"/>
  <c r="AT9" i="2"/>
  <c r="AS9" i="2"/>
  <c r="AU8" i="2"/>
  <c r="AT8" i="2"/>
  <c r="AS8" i="2"/>
  <c r="AU7" i="2"/>
  <c r="AT7" i="2"/>
  <c r="AS7" i="2"/>
  <c r="AU6" i="2"/>
  <c r="AT6" i="2"/>
  <c r="AS6" i="2"/>
  <c r="AU5" i="2"/>
  <c r="AT5" i="2"/>
  <c r="AS5" i="2"/>
  <c r="AU4" i="2"/>
  <c r="AT4" i="2"/>
  <c r="AS4" i="2"/>
  <c r="AU3" i="2"/>
  <c r="AT3" i="2"/>
  <c r="AS3" i="2"/>
  <c r="AU2" i="2"/>
  <c r="AT2" i="2"/>
  <c r="CP7" i="2" l="1"/>
  <c r="C17" i="41"/>
  <c r="D17" i="41"/>
  <c r="B12" i="30"/>
  <c r="C12" i="30"/>
  <c r="AB5" i="2"/>
  <c r="AA5" i="2"/>
  <c r="H9" i="29"/>
  <c r="S37" i="36" l="1"/>
  <c r="CP8" i="2"/>
  <c r="D18" i="41"/>
  <c r="C18" i="41"/>
  <c r="C13" i="30"/>
  <c r="B13" i="30"/>
  <c r="AA6" i="2"/>
  <c r="AB6" i="2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CP9" i="2" l="1"/>
  <c r="D19" i="41"/>
  <c r="C19" i="41"/>
  <c r="B14" i="30"/>
  <c r="C14" i="30"/>
  <c r="AB7" i="2"/>
  <c r="AA7" i="2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CP10" i="2" l="1"/>
  <c r="C20" i="41"/>
  <c r="D20" i="41"/>
  <c r="B15" i="30"/>
  <c r="C15" i="30"/>
  <c r="AA8" i="2"/>
  <c r="AB8" i="2"/>
  <c r="Q21" i="28"/>
  <c r="CP11" i="2" l="1"/>
  <c r="D21" i="41"/>
  <c r="C21" i="41"/>
  <c r="C16" i="30"/>
  <c r="B16" i="30"/>
  <c r="AB9" i="2"/>
  <c r="AA9" i="2"/>
  <c r="Q10" i="28"/>
  <c r="Q23" i="28" s="1"/>
  <c r="CP12" i="2" l="1"/>
  <c r="D22" i="41"/>
  <c r="C22" i="41"/>
  <c r="C17" i="30"/>
  <c r="B17" i="30"/>
  <c r="AA10" i="2"/>
  <c r="AB10" i="2"/>
  <c r="T25" i="11"/>
  <c r="T24" i="11"/>
  <c r="T23" i="11"/>
  <c r="T22" i="11"/>
  <c r="T21" i="11"/>
  <c r="T20" i="11"/>
  <c r="T19" i="11"/>
  <c r="T18" i="11"/>
  <c r="T17" i="11"/>
  <c r="T16" i="11"/>
  <c r="CP13" i="2" l="1"/>
  <c r="C23" i="41"/>
  <c r="D23" i="41"/>
  <c r="C18" i="30"/>
  <c r="B18" i="30"/>
  <c r="AB11" i="2"/>
  <c r="AA11" i="2"/>
  <c r="T21" i="12"/>
  <c r="T20" i="12"/>
  <c r="T18" i="12"/>
  <c r="CP14" i="2" l="1"/>
  <c r="D24" i="41"/>
  <c r="C24" i="41"/>
  <c r="B19" i="30"/>
  <c r="C19" i="30"/>
  <c r="AA12" i="2"/>
  <c r="AB12" i="2"/>
  <c r="W19" i="26"/>
  <c r="W17" i="26"/>
  <c r="W18" i="26"/>
  <c r="W16" i="26"/>
  <c r="CP15" i="2" l="1"/>
  <c r="D25" i="41"/>
  <c r="C25" i="41"/>
  <c r="B20" i="30"/>
  <c r="C20" i="30"/>
  <c r="AB13" i="2"/>
  <c r="AA13" i="2"/>
  <c r="CJ4" i="2"/>
  <c r="CJ5" i="2" s="1"/>
  <c r="CJ6" i="2" s="1"/>
  <c r="CJ7" i="2" s="1"/>
  <c r="CJ8" i="2" s="1"/>
  <c r="CJ9" i="2" s="1"/>
  <c r="CJ10" i="2" s="1"/>
  <c r="CJ11" i="2" s="1"/>
  <c r="CJ12" i="2" s="1"/>
  <c r="CJ13" i="2" s="1"/>
  <c r="CJ14" i="2" s="1"/>
  <c r="CJ15" i="2" s="1"/>
  <c r="CJ16" i="2" s="1"/>
  <c r="CJ17" i="2" s="1"/>
  <c r="CJ18" i="2" s="1"/>
  <c r="CJ19" i="2" s="1"/>
  <c r="CJ20" i="2" s="1"/>
  <c r="CJ21" i="2" s="1"/>
  <c r="CJ22" i="2" s="1"/>
  <c r="CJ23" i="2" s="1"/>
  <c r="CJ24" i="2" s="1"/>
  <c r="CJ25" i="2" s="1"/>
  <c r="CJ26" i="2" s="1"/>
  <c r="CJ27" i="2" s="1"/>
  <c r="CJ28" i="2" s="1"/>
  <c r="CJ29" i="2" s="1"/>
  <c r="CJ30" i="2" s="1"/>
  <c r="CJ31" i="2" s="1"/>
  <c r="BZ5" i="2"/>
  <c r="BY5" i="2"/>
  <c r="BX5" i="2"/>
  <c r="BW5" i="2"/>
  <c r="BX6" i="2" l="1"/>
  <c r="CP16" i="2"/>
  <c r="D26" i="41"/>
  <c r="C26" i="41"/>
  <c r="C21" i="30"/>
  <c r="B21" i="30"/>
  <c r="BW6" i="2"/>
  <c r="BY6" i="2"/>
  <c r="BZ6" i="2"/>
  <c r="AA14" i="2"/>
  <c r="AB14" i="2"/>
  <c r="BN4" i="2"/>
  <c r="BJ4" i="2"/>
  <c r="BW7" i="2" l="1"/>
  <c r="BY7" i="2"/>
  <c r="BZ7" i="2"/>
  <c r="CP17" i="2"/>
  <c r="C27" i="41"/>
  <c r="D27" i="41"/>
  <c r="C22" i="30"/>
  <c r="B22" i="30"/>
  <c r="BX7" i="2"/>
  <c r="BN5" i="2"/>
  <c r="B15" i="47"/>
  <c r="BJ5" i="2"/>
  <c r="B15" i="46"/>
  <c r="AB15" i="2"/>
  <c r="AA15" i="2"/>
  <c r="S16" i="36" l="1"/>
  <c r="S39" i="36" s="1"/>
  <c r="CP18" i="2"/>
  <c r="C28" i="41"/>
  <c r="D28" i="41"/>
  <c r="B23" i="30"/>
  <c r="C23" i="30"/>
  <c r="BY8" i="2"/>
  <c r="BX8" i="2"/>
  <c r="BZ8" i="2"/>
  <c r="BW8" i="2"/>
  <c r="BJ6" i="2"/>
  <c r="B16" i="46"/>
  <c r="BN6" i="2"/>
  <c r="B16" i="47"/>
  <c r="AA16" i="2"/>
  <c r="AB16" i="2"/>
  <c r="W25" i="26"/>
  <c r="W24" i="26"/>
  <c r="W23" i="26"/>
  <c r="W22" i="26"/>
  <c r="W21" i="26"/>
  <c r="W20" i="26"/>
  <c r="W12" i="26"/>
  <c r="V28" i="26"/>
  <c r="W26" i="26"/>
  <c r="BZ9" i="2" l="1"/>
  <c r="CP19" i="2"/>
  <c r="D29" i="41"/>
  <c r="C29" i="41"/>
  <c r="C24" i="30"/>
  <c r="B24" i="30"/>
  <c r="BW9" i="2"/>
  <c r="BX9" i="2"/>
  <c r="BY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BN7" i="2"/>
  <c r="B17" i="47"/>
  <c r="BJ7" i="2"/>
  <c r="B17" i="46"/>
  <c r="AB17" i="2"/>
  <c r="AA17" i="2"/>
  <c r="W27" i="26"/>
  <c r="BW10" i="2" l="1"/>
  <c r="CP20" i="2"/>
  <c r="C30" i="41"/>
  <c r="D30" i="41"/>
  <c r="B25" i="30"/>
  <c r="C25" i="30"/>
  <c r="BX10" i="2"/>
  <c r="BY10" i="2"/>
  <c r="BZ10" i="2"/>
  <c r="BJ8" i="2"/>
  <c r="B18" i="46"/>
  <c r="BN8" i="2"/>
  <c r="B18" i="47"/>
  <c r="AA18" i="2"/>
  <c r="AB18" i="2"/>
  <c r="AJ41" i="2"/>
  <c r="BZ11" i="2" l="1"/>
  <c r="BX11" i="2"/>
  <c r="BW11" i="2"/>
  <c r="BY11" i="2"/>
  <c r="CP21" i="2"/>
  <c r="C31" i="41"/>
  <c r="D31" i="41"/>
  <c r="C26" i="30"/>
  <c r="B26" i="30"/>
  <c r="BN9" i="2"/>
  <c r="B19" i="47"/>
  <c r="BJ9" i="2"/>
  <c r="B19" i="46"/>
  <c r="AB19" i="2"/>
  <c r="AA19" i="2"/>
  <c r="AI43" i="2"/>
  <c r="AH43" i="2"/>
  <c r="AG43" i="2"/>
  <c r="AF43" i="2"/>
  <c r="AE43" i="2"/>
  <c r="AD43" i="2"/>
  <c r="AI42" i="2"/>
  <c r="AH42" i="2"/>
  <c r="AG42" i="2"/>
  <c r="AF42" i="2"/>
  <c r="AE42" i="2"/>
  <c r="AD42" i="2"/>
  <c r="AI41" i="2"/>
  <c r="AH41" i="2"/>
  <c r="AG41" i="2"/>
  <c r="AF41" i="2"/>
  <c r="AE41" i="2"/>
  <c r="AD41" i="2"/>
  <c r="AJ40" i="2"/>
  <c r="AI40" i="2"/>
  <c r="AH40" i="2"/>
  <c r="AG40" i="2"/>
  <c r="AF40" i="2"/>
  <c r="AE40" i="2"/>
  <c r="AD40" i="2"/>
  <c r="AK39" i="2"/>
  <c r="AJ39" i="2"/>
  <c r="AI39" i="2"/>
  <c r="AH39" i="2"/>
  <c r="AG39" i="2"/>
  <c r="AF39" i="2"/>
  <c r="AE39" i="2"/>
  <c r="AD39" i="2"/>
  <c r="AK38" i="2"/>
  <c r="AJ38" i="2"/>
  <c r="AI38" i="2"/>
  <c r="AH38" i="2"/>
  <c r="AG38" i="2"/>
  <c r="AF38" i="2"/>
  <c r="AE38" i="2"/>
  <c r="AD38" i="2"/>
  <c r="R10" i="30" l="1"/>
  <c r="R26" i="30" s="1"/>
  <c r="BY12" i="2"/>
  <c r="CP22" i="2"/>
  <c r="D32" i="41"/>
  <c r="C32" i="41"/>
  <c r="C27" i="30"/>
  <c r="B27" i="30"/>
  <c r="BZ12" i="2"/>
  <c r="BX12" i="2"/>
  <c r="BW12" i="2"/>
  <c r="BJ10" i="2"/>
  <c r="B20" i="46"/>
  <c r="BN10" i="2"/>
  <c r="B20" i="47"/>
  <c r="AA20" i="2"/>
  <c r="AB20" i="2"/>
  <c r="CP23" i="2" l="1"/>
  <c r="C33" i="41"/>
  <c r="D33" i="41"/>
  <c r="B28" i="30"/>
  <c r="C28" i="30"/>
  <c r="BW13" i="2"/>
  <c r="BX13" i="2"/>
  <c r="BZ13" i="2"/>
  <c r="BY13" i="2"/>
  <c r="BN11" i="2"/>
  <c r="B21" i="47"/>
  <c r="BJ11" i="2"/>
  <c r="B21" i="46"/>
  <c r="AB21" i="2"/>
  <c r="AA21" i="2"/>
  <c r="BZ14" i="2" l="1"/>
  <c r="BW14" i="2"/>
  <c r="BY14" i="2"/>
  <c r="BX14" i="2"/>
  <c r="CP24" i="2"/>
  <c r="D34" i="41"/>
  <c r="C34" i="41"/>
  <c r="B29" i="30"/>
  <c r="C29" i="30"/>
  <c r="BJ12" i="2"/>
  <c r="B22" i="46"/>
  <c r="BN12" i="2"/>
  <c r="B22" i="47"/>
  <c r="AA22" i="2"/>
  <c r="AB22" i="2"/>
  <c r="BZ15" i="2" l="1"/>
  <c r="BW15" i="2"/>
  <c r="BY15" i="2"/>
  <c r="BX15" i="2"/>
  <c r="CP25" i="2"/>
  <c r="D35" i="41"/>
  <c r="C35" i="41"/>
  <c r="C30" i="30"/>
  <c r="B30" i="30"/>
  <c r="BN13" i="2"/>
  <c r="B23" i="47"/>
  <c r="BJ13" i="2"/>
  <c r="B23" i="46"/>
  <c r="AB23" i="2"/>
  <c r="AA23" i="2"/>
  <c r="BY16" i="2" l="1"/>
  <c r="CP26" i="2"/>
  <c r="D36" i="41"/>
  <c r="C36" i="41"/>
  <c r="B31" i="30"/>
  <c r="C31" i="30"/>
  <c r="BX16" i="2"/>
  <c r="BW16" i="2"/>
  <c r="BZ16" i="2"/>
  <c r="BJ14" i="2"/>
  <c r="B24" i="46"/>
  <c r="BN14" i="2"/>
  <c r="B24" i="47"/>
  <c r="AA24" i="2"/>
  <c r="AB24" i="2"/>
  <c r="BZ17" i="2" l="1"/>
  <c r="BW17" i="2"/>
  <c r="CP27" i="2"/>
  <c r="C37" i="41"/>
  <c r="D37" i="41"/>
  <c r="B32" i="30"/>
  <c r="C32" i="30"/>
  <c r="BX17" i="2"/>
  <c r="BY17" i="2"/>
  <c r="BN15" i="2"/>
  <c r="B25" i="47"/>
  <c r="BJ15" i="2"/>
  <c r="B25" i="46"/>
  <c r="AB25" i="2"/>
  <c r="AA25" i="2"/>
  <c r="U18" i="17"/>
  <c r="U16" i="17"/>
  <c r="U24" i="17"/>
  <c r="U23" i="17"/>
  <c r="U22" i="17"/>
  <c r="U21" i="17"/>
  <c r="U20" i="17"/>
  <c r="U19" i="17"/>
  <c r="U17" i="17"/>
  <c r="BX18" i="2" l="1"/>
  <c r="CP28" i="2"/>
  <c r="D38" i="41"/>
  <c r="C38" i="41"/>
  <c r="C33" i="30"/>
  <c r="B33" i="30"/>
  <c r="BZ18" i="2"/>
  <c r="BY18" i="2"/>
  <c r="BW18" i="2"/>
  <c r="BJ16" i="2"/>
  <c r="B26" i="46"/>
  <c r="BN16" i="2"/>
  <c r="B26" i="47"/>
  <c r="AA26" i="2"/>
  <c r="AB26" i="2"/>
  <c r="CD5" i="2"/>
  <c r="CC5" i="2"/>
  <c r="BW19" i="2" l="1"/>
  <c r="CP29" i="2"/>
  <c r="C39" i="41"/>
  <c r="D39" i="41"/>
  <c r="C34" i="30"/>
  <c r="B34" i="30"/>
  <c r="BY19" i="2"/>
  <c r="BZ19" i="2"/>
  <c r="BX19" i="2"/>
  <c r="BN17" i="2"/>
  <c r="B27" i="47"/>
  <c r="BJ17" i="2"/>
  <c r="B27" i="46"/>
  <c r="AB27" i="2"/>
  <c r="AA27" i="2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BZ20" i="2" l="1"/>
  <c r="BX20" i="2"/>
  <c r="BW20" i="2"/>
  <c r="BY20" i="2"/>
  <c r="CP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BJ18" i="2"/>
  <c r="B28" i="46"/>
  <c r="BN18" i="2"/>
  <c r="B28" i="47"/>
  <c r="AA28" i="2"/>
  <c r="AB28" i="2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BY21" i="2" l="1"/>
  <c r="BW21" i="2"/>
  <c r="CP31" i="2"/>
  <c r="C41" i="41"/>
  <c r="D41" i="41"/>
  <c r="B36" i="30"/>
  <c r="C36" i="30"/>
  <c r="BX21" i="2"/>
  <c r="BZ21" i="2"/>
  <c r="R15" i="50"/>
  <c r="R32" i="50" s="1"/>
  <c r="Q15" i="49"/>
  <c r="Q31" i="49" s="1"/>
  <c r="BN19" i="2"/>
  <c r="B29" i="47"/>
  <c r="BJ19" i="2"/>
  <c r="B29" i="46"/>
  <c r="M12" i="22"/>
  <c r="M28" i="22" s="1"/>
  <c r="W13" i="26" l="1"/>
  <c r="W30" i="26" s="1"/>
  <c r="BY22" i="2"/>
  <c r="BX22" i="2"/>
  <c r="BW22" i="2"/>
  <c r="BZ22" i="2"/>
  <c r="CP32" i="2"/>
  <c r="D42" i="41"/>
  <c r="C42" i="41"/>
  <c r="C37" i="30"/>
  <c r="B37" i="30"/>
  <c r="BJ20" i="2"/>
  <c r="B30" i="46"/>
  <c r="BN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CP33" i="2" l="1"/>
  <c r="D43" i="41"/>
  <c r="C43" i="41"/>
  <c r="C38" i="30"/>
  <c r="B38" i="30"/>
  <c r="BW23" i="2"/>
  <c r="BY23" i="2"/>
  <c r="BZ23" i="2"/>
  <c r="BX23" i="2"/>
  <c r="BN21" i="2"/>
  <c r="B31" i="47"/>
  <c r="BJ21" i="2"/>
  <c r="B31" i="46"/>
  <c r="C25" i="17"/>
  <c r="B31" i="45"/>
  <c r="BW24" i="2" l="1"/>
  <c r="BY24" i="2"/>
  <c r="CP34" i="2"/>
  <c r="D44" i="41"/>
  <c r="C44" i="41"/>
  <c r="B39" i="30"/>
  <c r="C39" i="30"/>
  <c r="BX24" i="2"/>
  <c r="BZ24" i="2"/>
  <c r="BJ22" i="2"/>
  <c r="B32" i="46"/>
  <c r="BN22" i="2"/>
  <c r="B32" i="47"/>
  <c r="Q16" i="45"/>
  <c r="AP28" i="2"/>
  <c r="AP27" i="2"/>
  <c r="CP35" i="2" l="1"/>
  <c r="C45" i="41"/>
  <c r="D45" i="41"/>
  <c r="B40" i="30"/>
  <c r="C40" i="30"/>
  <c r="BX25" i="2"/>
  <c r="BW25" i="2"/>
  <c r="BZ25" i="2"/>
  <c r="BY25" i="2"/>
  <c r="BN23" i="2"/>
  <c r="B33" i="47"/>
  <c r="BJ23" i="2"/>
  <c r="B33" i="46"/>
  <c r="BX26" i="2" l="1"/>
  <c r="BZ26" i="2"/>
  <c r="BW26" i="2"/>
  <c r="BY26" i="2"/>
  <c r="CP36" i="2"/>
  <c r="D46" i="41"/>
  <c r="C46" i="41"/>
  <c r="C41" i="30"/>
  <c r="B41" i="30"/>
  <c r="BJ24" i="2"/>
  <c r="B34" i="46"/>
  <c r="BN24" i="2"/>
  <c r="B34" i="47"/>
  <c r="T19" i="12"/>
  <c r="BY27" i="2" l="1"/>
  <c r="BW27" i="2"/>
  <c r="CP37" i="2"/>
  <c r="C47" i="41"/>
  <c r="D47" i="41"/>
  <c r="C42" i="30"/>
  <c r="B42" i="30"/>
  <c r="BX27" i="2"/>
  <c r="BZ27" i="2"/>
  <c r="BN25" i="2"/>
  <c r="B35" i="47"/>
  <c r="BJ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3" i="30"/>
  <c r="C43" i="30"/>
  <c r="BW28" i="2"/>
  <c r="BX28" i="2"/>
  <c r="BZ28" i="2"/>
  <c r="BY28" i="2"/>
  <c r="BJ26" i="2"/>
  <c r="B36" i="46"/>
  <c r="BN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BY29" i="2" l="1"/>
  <c r="BX29" i="2"/>
  <c r="BZ29" i="2"/>
  <c r="BW29" i="2"/>
  <c r="BN27" i="2"/>
  <c r="B37" i="47"/>
  <c r="BJ27" i="2"/>
  <c r="B37" i="46"/>
  <c r="BY30" i="2" l="1"/>
  <c r="BW30" i="2"/>
  <c r="BX30" i="2"/>
  <c r="BZ30" i="2"/>
  <c r="BJ28" i="2"/>
  <c r="B38" i="46"/>
  <c r="BN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BZ31" i="2" l="1"/>
  <c r="BY31" i="2"/>
  <c r="BX31" i="2"/>
  <c r="BW31" i="2"/>
  <c r="BN29" i="2"/>
  <c r="B39" i="47"/>
  <c r="BJ29" i="2"/>
  <c r="B39" i="46"/>
  <c r="U26" i="17"/>
  <c r="U27" i="17" s="1"/>
  <c r="BW32" i="2" l="1"/>
  <c r="BY32" i="2"/>
  <c r="BZ32" i="2"/>
  <c r="BX32" i="2"/>
  <c r="BJ30" i="2"/>
  <c r="B40" i="46"/>
  <c r="BN30" i="2"/>
  <c r="B40" i="47"/>
  <c r="BY33" i="2" l="1"/>
  <c r="BZ33" i="2"/>
  <c r="BX33" i="2"/>
  <c r="BW33" i="2"/>
  <c r="BN31" i="2"/>
  <c r="B41" i="47"/>
  <c r="BJ31" i="2"/>
  <c r="B41" i="46"/>
  <c r="BW34" i="2" l="1"/>
  <c r="BZ34" i="2"/>
  <c r="BX34" i="2"/>
  <c r="BY34" i="2"/>
  <c r="BJ32" i="2"/>
  <c r="B42" i="46"/>
  <c r="BN32" i="2"/>
  <c r="B42" i="47"/>
  <c r="A10" i="5"/>
  <c r="BY35" i="2" l="1"/>
  <c r="BX35" i="2"/>
  <c r="BZ35" i="2"/>
  <c r="BW35" i="2"/>
  <c r="BN33" i="2"/>
  <c r="B43" i="47"/>
  <c r="BJ33" i="2"/>
  <c r="B43" i="46"/>
  <c r="BW36" i="2" l="1"/>
  <c r="BY36" i="2"/>
  <c r="BZ36" i="2"/>
  <c r="BX36" i="2"/>
  <c r="BJ34" i="2"/>
  <c r="B44" i="46"/>
  <c r="BN34" i="2"/>
  <c r="B44" i="47"/>
  <c r="T25" i="12"/>
  <c r="T24" i="12"/>
  <c r="T23" i="12"/>
  <c r="T22" i="12"/>
  <c r="T17" i="12"/>
  <c r="T16" i="12"/>
  <c r="T26" i="11"/>
  <c r="T27" i="11" s="1"/>
  <c r="BX37" i="2" l="1"/>
  <c r="BY37" i="2"/>
  <c r="BW37" i="2"/>
  <c r="BZ37" i="2"/>
  <c r="BN35" i="2"/>
  <c r="B45" i="47"/>
  <c r="BJ35" i="2"/>
  <c r="B45" i="46"/>
  <c r="T26" i="12"/>
  <c r="BZ38" i="2" l="1"/>
  <c r="BY38" i="2"/>
  <c r="BX38" i="2"/>
  <c r="BW38" i="2"/>
  <c r="BJ36" i="2"/>
  <c r="B46" i="46"/>
  <c r="BN36" i="2"/>
  <c r="B46" i="47"/>
  <c r="BX39" i="2" l="1"/>
  <c r="BW39" i="2"/>
  <c r="BY39" i="2"/>
  <c r="BZ39" i="2"/>
  <c r="BN37" i="2"/>
  <c r="C42" i="12" s="1"/>
  <c r="B47" i="47"/>
  <c r="BJ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BO4" i="2"/>
  <c r="C9" i="12"/>
  <c r="BK4" i="2"/>
  <c r="C8" i="12"/>
  <c r="BX40" i="2" l="1"/>
  <c r="BZ40" i="2"/>
  <c r="BK5" i="2"/>
  <c r="BO5" i="2"/>
  <c r="BY40" i="2"/>
  <c r="BW40" i="2"/>
  <c r="BJ38" i="2"/>
  <c r="C43" i="11" s="1"/>
  <c r="B48" i="46"/>
  <c r="BN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BW41" i="2" l="1"/>
  <c r="BO6" i="2"/>
  <c r="BX41" i="2"/>
  <c r="BZ41" i="2"/>
  <c r="BY41" i="2"/>
  <c r="BK6" i="2"/>
  <c r="BN39" i="2"/>
  <c r="B49" i="47"/>
  <c r="C43" i="12"/>
  <c r="BJ39" i="2"/>
  <c r="B49" i="46"/>
  <c r="BZ42" i="2" l="1"/>
  <c r="BX42" i="2"/>
  <c r="BY42" i="2"/>
  <c r="BW42" i="2"/>
  <c r="BK7" i="2"/>
  <c r="BO7" i="2"/>
  <c r="BJ40" i="2"/>
  <c r="B50" i="46"/>
  <c r="C44" i="11"/>
  <c r="BN40" i="2"/>
  <c r="B50" i="47"/>
  <c r="C44" i="12"/>
  <c r="BK8" i="2" l="1"/>
  <c r="BW43" i="2"/>
  <c r="BZ43" i="2"/>
  <c r="BO8" i="2"/>
  <c r="BX43" i="2"/>
  <c r="BY43" i="2"/>
  <c r="BN41" i="2"/>
  <c r="B51" i="47"/>
  <c r="C45" i="12"/>
  <c r="BJ41" i="2"/>
  <c r="B51" i="46"/>
  <c r="C45" i="11"/>
  <c r="BW44" i="2" l="1"/>
  <c r="BY44" i="2"/>
  <c r="BO9" i="2"/>
  <c r="BZ44" i="2"/>
  <c r="BX44" i="2"/>
  <c r="BK9" i="2"/>
  <c r="BJ42" i="2"/>
  <c r="B52" i="46"/>
  <c r="C46" i="11"/>
  <c r="BN42" i="2"/>
  <c r="B52" i="47"/>
  <c r="C46" i="12"/>
  <c r="BH8" i="2"/>
  <c r="H17" i="5" s="1"/>
  <c r="BH7" i="2"/>
  <c r="H16" i="5" s="1"/>
  <c r="BH6" i="2"/>
  <c r="BH5" i="2"/>
  <c r="BH4" i="2"/>
  <c r="BH3" i="2"/>
  <c r="AR3" i="2"/>
  <c r="BY45" i="2" l="1"/>
  <c r="BO10" i="2"/>
  <c r="BW45" i="2"/>
  <c r="BX45" i="2"/>
  <c r="BK10" i="2"/>
  <c r="BZ45" i="2"/>
  <c r="B53" i="47"/>
  <c r="C47" i="12"/>
  <c r="BJ43" i="2"/>
  <c r="B53" i="46"/>
  <c r="C47" i="11"/>
  <c r="A11" i="5"/>
  <c r="B15" i="39"/>
  <c r="AR4" i="2"/>
  <c r="T13" i="12" l="1"/>
  <c r="T28" i="12" s="1"/>
  <c r="BY46" i="2"/>
  <c r="BZ46" i="2"/>
  <c r="BO11" i="2"/>
  <c r="BK11" i="2"/>
  <c r="BX46" i="2"/>
  <c r="BW46" i="2"/>
  <c r="B54" i="46"/>
  <c r="C48" i="11"/>
  <c r="A12" i="5"/>
  <c r="B16" i="39"/>
  <c r="AR5" i="2"/>
  <c r="BW47" i="2" l="1"/>
  <c r="BK12" i="2"/>
  <c r="BY47" i="2"/>
  <c r="BX47" i="2"/>
  <c r="BO12" i="2"/>
  <c r="BZ47" i="2"/>
  <c r="A13" i="5"/>
  <c r="B17" i="39"/>
  <c r="AR6" i="2"/>
  <c r="BX48" i="2" l="1"/>
  <c r="BK13" i="2"/>
  <c r="BO13" i="2"/>
  <c r="BY48" i="2"/>
  <c r="BZ48" i="2"/>
  <c r="BW48" i="2"/>
  <c r="A14" i="5"/>
  <c r="B18" i="39"/>
  <c r="AR7" i="2"/>
  <c r="BW49" i="2" l="1"/>
  <c r="BK14" i="2"/>
  <c r="BO14" i="2"/>
  <c r="BY49" i="2"/>
  <c r="BZ49" i="2"/>
  <c r="BX49" i="2"/>
  <c r="A15" i="5"/>
  <c r="B19" i="39"/>
  <c r="AR8" i="2"/>
  <c r="BX50" i="2" l="1"/>
  <c r="BK15" i="2"/>
  <c r="BO15" i="2"/>
  <c r="BY50" i="2"/>
  <c r="BZ50" i="2"/>
  <c r="BW50" i="2"/>
  <c r="A16" i="5"/>
  <c r="B20" i="39"/>
  <c r="AR9" i="2"/>
  <c r="BK16" i="2" l="1"/>
  <c r="BO16" i="2"/>
  <c r="A17" i="5"/>
  <c r="B21" i="39"/>
  <c r="AR10" i="2"/>
  <c r="BK17" i="2" l="1"/>
  <c r="BO17" i="2"/>
  <c r="A18" i="5"/>
  <c r="B22" i="39"/>
  <c r="U14" i="17"/>
  <c r="U29" i="17" s="1"/>
  <c r="AR11" i="2"/>
  <c r="BO18" i="2" l="1"/>
  <c r="BK18" i="2"/>
  <c r="A19" i="5"/>
  <c r="B23" i="39"/>
  <c r="AR12" i="2"/>
  <c r="BK19" i="2" l="1"/>
  <c r="BO19" i="2"/>
  <c r="A20" i="5"/>
  <c r="B24" i="39"/>
  <c r="AR13" i="2"/>
  <c r="BO20" i="2" l="1"/>
  <c r="BK20" i="2"/>
  <c r="A21" i="5"/>
  <c r="B25" i="39"/>
  <c r="AR14" i="2"/>
  <c r="BK21" i="2" l="1"/>
  <c r="BO21" i="2"/>
  <c r="A22" i="5"/>
  <c r="B26" i="39"/>
  <c r="AR15" i="2"/>
  <c r="BO22" i="2" l="1"/>
  <c r="BK22" i="2"/>
  <c r="A23" i="5"/>
  <c r="B27" i="39"/>
  <c r="AR16" i="2"/>
  <c r="BK23" i="2" l="1"/>
  <c r="BO23" i="2"/>
  <c r="A24" i="5"/>
  <c r="B28" i="39"/>
  <c r="AR17" i="2"/>
  <c r="BO24" i="2" l="1"/>
  <c r="BK24" i="2"/>
  <c r="A25" i="5"/>
  <c r="B29" i="39"/>
  <c r="AR18" i="2"/>
  <c r="T13" i="11" l="1"/>
  <c r="T29" i="11" s="1"/>
  <c r="BK25" i="2"/>
  <c r="BO25" i="2"/>
  <c r="A26" i="5"/>
  <c r="B30" i="39"/>
  <c r="AR19" i="2"/>
  <c r="BO26" i="2" l="1"/>
  <c r="BK26" i="2"/>
  <c r="A27" i="5"/>
  <c r="B31" i="39"/>
  <c r="AR20" i="2"/>
  <c r="BK27" i="2" l="1"/>
  <c r="BO27" i="2"/>
  <c r="A28" i="5"/>
  <c r="B32" i="39"/>
  <c r="AR21" i="2"/>
  <c r="BO28" i="2" l="1"/>
  <c r="BK28" i="2"/>
  <c r="A29" i="5"/>
  <c r="B33" i="39"/>
  <c r="AR22" i="2"/>
  <c r="BK29" i="2" l="1"/>
  <c r="BO29" i="2"/>
  <c r="A30" i="5"/>
  <c r="B34" i="39"/>
  <c r="AR23" i="2"/>
  <c r="BO30" i="2" l="1"/>
  <c r="BK30" i="2"/>
  <c r="A31" i="5"/>
  <c r="B35" i="39"/>
  <c r="AR24" i="2"/>
  <c r="BK31" i="2" l="1"/>
  <c r="BO31" i="2"/>
  <c r="A32" i="5"/>
  <c r="B36" i="39"/>
  <c r="AR25" i="2"/>
  <c r="BO32" i="2" l="1"/>
  <c r="BK32" i="2"/>
  <c r="A33" i="5"/>
  <c r="B37" i="39"/>
  <c r="AR26" i="2"/>
  <c r="BK33" i="2" l="1"/>
  <c r="BO33" i="2"/>
  <c r="A34" i="5"/>
  <c r="B38" i="39"/>
  <c r="AR27" i="2"/>
  <c r="BO34" i="2" l="1"/>
  <c r="BK34" i="2"/>
  <c r="A35" i="5"/>
  <c r="B39" i="39"/>
  <c r="AR28" i="2"/>
  <c r="BK35" i="2" l="1"/>
  <c r="BO35" i="2"/>
  <c r="A36" i="5"/>
  <c r="B40" i="39"/>
  <c r="AR29" i="2"/>
  <c r="BO36" i="2" l="1"/>
  <c r="BK36" i="2"/>
  <c r="A37" i="5"/>
  <c r="B41" i="39"/>
  <c r="AR30" i="2"/>
  <c r="BK37" i="2" l="1"/>
  <c r="BO37" i="2"/>
  <c r="Q15" i="39"/>
  <c r="N12" i="5"/>
  <c r="N27" i="5" s="1"/>
  <c r="BO38" i="2" l="1"/>
  <c r="BK38" i="2"/>
  <c r="Q23" i="39"/>
  <c r="Q22" i="39"/>
  <c r="Q24" i="39"/>
  <c r="Q19" i="39"/>
  <c r="Q18" i="39"/>
  <c r="Q20" i="39"/>
  <c r="Q25" i="39"/>
  <c r="Q26" i="39"/>
  <c r="Q21" i="39"/>
  <c r="BK39" i="2" l="1"/>
  <c r="BO39" i="2"/>
  <c r="Q28" i="39"/>
  <c r="Q30" i="39" s="1"/>
  <c r="BO40" i="2" l="1"/>
  <c r="BK40" i="2"/>
  <c r="AI4" i="2"/>
  <c r="AJ3" i="2"/>
  <c r="BK41" i="2" l="1"/>
  <c r="BO41" i="2"/>
  <c r="AI5" i="2"/>
  <c r="AJ4" i="2"/>
  <c r="BO42" i="2" l="1"/>
  <c r="BK42" i="2"/>
  <c r="AI6" i="2"/>
  <c r="AJ5" i="2"/>
  <c r="BK43" i="2" l="1"/>
  <c r="Q15" i="47"/>
  <c r="Q29" i="47" s="1"/>
  <c r="AJ6" i="2"/>
  <c r="AI7" i="2"/>
  <c r="Q15" i="46" l="1"/>
  <c r="Q31" i="46" s="1"/>
  <c r="AI8" i="2"/>
  <c r="AJ7" i="2"/>
  <c r="AI9" i="2" l="1"/>
  <c r="AJ8" i="2"/>
  <c r="AI10" i="2" l="1"/>
  <c r="AJ9" i="2"/>
  <c r="AJ10" i="2" l="1"/>
  <c r="AI11" i="2"/>
  <c r="AJ11" i="2" l="1"/>
  <c r="AI12" i="2"/>
  <c r="AI13" i="2" l="1"/>
  <c r="AJ12" i="2"/>
  <c r="AI14" i="2" l="1"/>
  <c r="AJ13" i="2"/>
  <c r="AI15" i="2" l="1"/>
  <c r="AJ14" i="2"/>
  <c r="AI16" i="2" l="1"/>
  <c r="AJ15" i="2"/>
  <c r="AI17" i="2" l="1"/>
  <c r="AJ16" i="2"/>
  <c r="AI18" i="2" l="1"/>
  <c r="AJ17" i="2"/>
  <c r="AJ18" i="2" l="1"/>
  <c r="AI19" i="2"/>
  <c r="AI20" i="2" l="1"/>
  <c r="AJ19" i="2"/>
  <c r="AJ20" i="2" l="1"/>
  <c r="AI21" i="2"/>
  <c r="AJ21" i="2" l="1"/>
  <c r="AI22" i="2"/>
  <c r="AI23" i="2" l="1"/>
  <c r="AJ22" i="2"/>
  <c r="AI24" i="2" l="1"/>
  <c r="AJ23" i="2"/>
  <c r="AJ24" i="2" l="1"/>
  <c r="AI25" i="2"/>
  <c r="AJ25" i="2" l="1"/>
  <c r="AI26" i="2"/>
  <c r="AI27" i="2" l="1"/>
  <c r="AJ26" i="2"/>
  <c r="AJ27" i="2" l="1"/>
  <c r="AI28" i="2"/>
  <c r="AJ28" i="2" l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<sst xmlns="http://schemas.openxmlformats.org/spreadsheetml/2006/main" count="4695" uniqueCount="787">
  <si>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</si>
  <si>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</si>
  <si>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</si>
  <si>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</si>
  <si>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</si>
  <si>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</si>
  <si>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</si>
  <si>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</si>
  <si>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</si>
  <si>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</si>
  <si>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</si>
  <si>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</si>
  <si>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</si>
  <si>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</si>
  <si>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</si>
  <si>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</si>
  <si>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</si>
  <si>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</si>
  <si>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</si>
  <si>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</si>
  <si>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</si>
  <si>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</si>
  <si>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</si>
  <si>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</si>
  <si>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</si>
  <si>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</si>
  <si>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</si>
  <si>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</si>
  <si>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</si>
  <si>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</si>
  <si>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</si>
  <si>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</si>
  <si>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</si>
  <si>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</si>
  <si>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</si>
  <si>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</si>
  <si>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</si>
  <si>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</si>
  <si>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</si>
  <si>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</si>
  <si>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</si>
  <si>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</si>
  <si>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</si>
  <si>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</si>
  <si>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</si>
  <si>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</si>
  <si>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</si>
  <si>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</si>
  <si>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</si>
  <si>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</si>
  <si>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</si>
  <si>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</si>
  <si>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</si>
  <si>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</si>
  <si>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</si>
  <si>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</si>
  <si>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</si>
  <si>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</si>
  <si>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</si>
  <si>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</si>
  <si>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</si>
  <si>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</si>
  <si>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</si>
  <si>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</si>
  <si>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</si>
  <si>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</si>
  <si>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</si>
  <si>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</si>
  <si>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</si>
  <si>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</si>
  <si>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1) Prepayment penalties not allowed in AK, KS, MI, MN, NM, OH, and RI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</si>
  <si>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</si>
  <si>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</si>
  <si>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</si>
  <si>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</si>
  <si>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</si>
  <si>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</si>
  <si>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</si>
  <si>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</si>
  <si>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</si>
  <si>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</si>
  <si>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</si>
  <si>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</si>
  <si>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</si>
  <si>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</si>
  <si>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</si>
  <si>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</si>
  <si>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</si>
  <si>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</si>
  <si>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</si>
  <si>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rate</t>
  </si>
  <si>
    <t>5/6 Arm</t>
  </si>
  <si>
    <t>15 Yr Fx</t>
  </si>
  <si>
    <t>30 Yr Fx</t>
  </si>
  <si>
    <t>Arm Margin</t>
  </si>
  <si>
    <t>Fixed Margin</t>
  </si>
  <si>
    <t>30 day lock adjustment</t>
  </si>
  <si>
    <t>Prepay Term</t>
  </si>
  <si>
    <t>Min Price</t>
  </si>
  <si>
    <t>60 Months</t>
  </si>
  <si>
    <t>48 Months</t>
  </si>
  <si>
    <t>No Penalty</t>
  </si>
  <si>
    <t>10/ 6 ARM</t>
  </si>
  <si>
    <t>PrePay Notes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</si>
  <si>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</si>
  <si>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</si>
  <si>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</si>
  <si>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</si>
  <si>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</si>
  <si>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</si>
  <si>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</si>
  <si>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</si>
  <si>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</si>
  <si>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</si>
  <si>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</si>
  <si>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</si>
  <si>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</si>
  <si>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</si>
  <si>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</si>
  <si>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</si>
  <si>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</si>
  <si>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</si>
  <si>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</si>
  <si>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</si>
  <si>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</si>
  <si>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</si>
  <si>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</si>
  <si>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</si>
  <si>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</si>
  <si>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</si>
  <si>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</si>
  <si>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</si>
  <si>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</si>
  <si>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</si>
  <si>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</si>
  <si>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</si>
  <si>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</si>
  <si>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</si>
  <si>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</si>
  <si>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</si>
  <si>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</si>
  <si>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</si>
  <si>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</si>
  <si>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</si>
  <si>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</si>
  <si>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Verus</t>
  </si>
  <si>
    <t>RateSheet</t>
  </si>
  <si>
    <t>DSCR Multi Property (5-8 Residential Units)</t>
  </si>
  <si>
    <t>1) Prepayment penalties not allowed in AK, KS, MI, MN, MS, NM, OH, and RI</t>
  </si>
  <si>
    <t xml:space="preserve">2) Prepayment penalties not allowed on loans vested to individuals </t>
  </si>
  <si>
    <t xml:space="preserve">     in IL and NJ</t>
  </si>
  <si>
    <t xml:space="preserve">3) Prepayment penalties not allowed on loan amounts less </t>
  </si>
  <si>
    <t xml:space="preserve">     than $278,204 in PA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</si>
  <si>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</si>
  <si>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</si>
  <si>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</si>
  <si>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</si>
  <si>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</si>
  <si>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</si>
  <si>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</si>
  <si>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</si>
  <si>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</si>
  <si>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</si>
  <si>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</si>
  <si>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</si>
  <si>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</si>
  <si>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</si>
  <si>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</si>
  <si>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</si>
  <si>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</si>
  <si>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</si>
  <si>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</si>
  <si>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</si>
  <si>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</si>
  <si>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</si>
  <si>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</si>
  <si>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</si>
  <si>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</si>
  <si>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</si>
  <si>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</si>
  <si>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</si>
  <si>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</si>
  <si>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</si>
  <si>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</si>
  <si>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</si>
  <si>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</si>
  <si>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</si>
  <si>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</si>
  <si>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</si>
  <si>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</si>
  <si>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</si>
  <si>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</si>
  <si>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</si>
  <si>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</si>
  <si>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</si>
  <si>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</si>
  <si>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</si>
  <si>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</si>
  <si>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</si>
  <si>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</si>
  <si>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</si>
  <si>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</si>
  <si>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</si>
  <si>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</si>
  <si>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</si>
  <si>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</si>
  <si>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</si>
  <si>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</si>
  <si>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</si>
  <si>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</si>
  <si>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</si>
  <si>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</si>
  <si>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</si>
  <si>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</si>
  <si>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</si>
  <si>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</si>
  <si>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</si>
  <si>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</si>
  <si>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</si>
  <si>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</si>
  <si>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</si>
  <si>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</si>
  <si>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</si>
  <si>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Margin</t>
  </si>
  <si>
    <t>Time:</t>
  </si>
  <si>
    <t>SOFR 30AVG:</t>
  </si>
  <si>
    <t>Rate</t>
  </si>
  <si>
    <t>5/6 ARM</t>
  </si>
  <si>
    <t>15 YR FIX</t>
  </si>
  <si>
    <t>30 YR FIX</t>
  </si>
  <si>
    <t>Fees</t>
  </si>
  <si>
    <r>
      <t>Pre-Close Review (Delegated)</t>
    </r>
    <r>
      <rPr>
        <vertAlign val="superscript"/>
        <sz val="10"/>
        <color theme="1"/>
        <rFont val="Times New Roman"/>
        <family val="1"/>
      </rPr>
      <t>1</t>
    </r>
  </si>
  <si>
    <r>
      <t>Non-Delegated Review</t>
    </r>
    <r>
      <rPr>
        <vertAlign val="superscript"/>
        <sz val="10"/>
        <color theme="1"/>
        <rFont val="Times New Roman"/>
        <family val="1"/>
      </rPr>
      <t>1</t>
    </r>
  </si>
  <si>
    <r>
      <t>Funding</t>
    </r>
    <r>
      <rPr>
        <vertAlign val="superscript"/>
        <sz val="10"/>
        <color theme="1"/>
        <rFont val="Times New Roman"/>
        <family val="1"/>
      </rPr>
      <t>2</t>
    </r>
  </si>
  <si>
    <t xml:space="preserve">1) Fee is applied regardless of final purchase status </t>
  </si>
  <si>
    <t>2) Fee is applied only if loan is purchased by VMC</t>
  </si>
  <si>
    <t>* See the VMC Seller Guide for other fees that may apply</t>
  </si>
  <si>
    <r>
      <t>Prepay Term</t>
    </r>
    <r>
      <rPr>
        <vertAlign val="superscript"/>
        <sz val="10"/>
        <rFont val="Times New Roman"/>
        <family val="1"/>
      </rPr>
      <t>1-4</t>
    </r>
  </si>
  <si>
    <t>4) Only declining prepayment penalty structures allowed in MS</t>
  </si>
  <si>
    <t xml:space="preserve">5) Acceptable structures include the following: </t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</si>
  <si>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 xml:space="preserve">6 mo Interest 
</t>
    </r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</si>
  <si>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>3%,4%,or 5% fixed percentage</t>
    </r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</si>
  <si>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 xml:space="preserve">Declining structures that do not exceed 5% and do not drop below 3% in the first 3 years. </t>
    </r>
  </si>
  <si>
    <t xml:space="preserve">  For example: (5%/4%/3%/3%/3%) or (5%/4%/3%/2%/1%)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</si>
  <si>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</si>
  <si>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</si>
  <si>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</si>
  <si>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</si>
  <si>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</si>
  <si>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</si>
  <si>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</si>
  <si>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</si>
  <si>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</si>
  <si>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</si>
  <si>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</si>
  <si>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</si>
  <si>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</si>
  <si>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</si>
  <si>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</si>
  <si>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</si>
  <si>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</si>
  <si>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</si>
  <si>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</si>
  <si>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</si>
  <si>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</si>
  <si>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</si>
  <si>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</si>
  <si>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</si>
  <si>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</si>
  <si>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</si>
  <si>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</si>
  <si>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</si>
  <si>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</si>
  <si>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</si>
  <si>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</si>
  <si>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</si>
  <si>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</si>
  <si>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</si>
  <si>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</si>
  <si>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</si>
  <si>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</si>
  <si>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1. AK, KS, MI, MN, MS, NM, OH, &amp; RI must buyout PPP</t>
  </si>
  <si>
    <t>7yr/10yr ARM Caps</t>
  </si>
  <si>
    <t>NONI 58</t>
  </si>
  <si>
    <t>AMC selection can be made at: https://www.thelender.com/appraisals/</t>
  </si>
  <si>
    <t>Underwriting Fee: $1,995</t>
  </si>
  <si>
    <t>Margin Changes</t>
  </si>
  <si>
    <t>OO</t>
  </si>
  <si>
    <t>NOO</t>
  </si>
  <si>
    <t>Date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</si>
  <si>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</si>
  <si>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</si>
  <si>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</si>
  <si>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</si>
  <si>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</si>
  <si>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</si>
  <si>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</si>
  <si>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</si>
  <si>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</si>
  <si>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</si>
  <si>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</si>
  <si>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</si>
  <si>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</si>
  <si>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</si>
  <si>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</si>
  <si>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</si>
  <si>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</si>
  <si>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</si>
  <si>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</si>
  <si>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</si>
  <si>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</si>
  <si>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</si>
  <si>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</si>
  <si>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</si>
  <si>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</si>
  <si>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</si>
  <si>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</si>
  <si>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</si>
  <si>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</si>
  <si>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</si>
  <si>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</si>
  <si>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</si>
  <si>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</si>
  <si>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</si>
  <si>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</si>
  <si>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</si>
  <si>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</si>
  <si>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</si>
  <si>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</si>
  <si>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</si>
  <si>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</si>
  <si>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</si>
  <si>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</si>
  <si>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</si>
  <si>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</si>
  <si>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</si>
  <si>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</si>
  <si>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</si>
  <si>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</si>
  <si>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</si>
  <si>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</si>
  <si>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</si>
  <si>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</si>
  <si>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</si>
  <si>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</si>
  <si>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</si>
  <si>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</si>
  <si>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</si>
  <si>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</si>
  <si>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</si>
  <si>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</si>
  <si>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</si>
  <si>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</si>
  <si>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 xml:space="preserve">3. PA - Loan amounts &lt; $301,022 cannot have a prepayment penalty 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</si>
  <si>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</si>
  <si>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</si>
  <si>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</si>
  <si>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</si>
  <si>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</si>
  <si>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</si>
  <si>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</si>
  <si>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</si>
  <si>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</si>
  <si>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</si>
  <si>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</si>
  <si>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</si>
  <si>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</si>
  <si>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</si>
  <si>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</si>
  <si>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</si>
  <si>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</si>
  <si>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</si>
  <si>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</si>
  <si>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</si>
  <si>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</si>
  <si>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</si>
  <si>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pre 1/25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</si>
  <si>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</si>
  <si>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</si>
  <si>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</si>
  <si>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</si>
  <si>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</si>
  <si>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</si>
  <si>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</si>
  <si>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</si>
  <si>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</si>
  <si>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</si>
  <si>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</si>
  <si>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</si>
  <si>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</si>
  <si>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</si>
  <si>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</si>
  <si>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</si>
  <si>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</si>
  <si>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</si>
  <si>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</si>
  <si>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</si>
  <si>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</si>
  <si>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</si>
  <si>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</si>
  <si>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</si>
  <si>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</si>
  <si>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</si>
  <si>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</si>
  <si>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</si>
  <si>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</si>
  <si>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</si>
  <si>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</si>
  <si>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</si>
  <si>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</si>
  <si>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</si>
  <si>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</si>
  <si>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</si>
  <si>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</si>
  <si>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</si>
  <si>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</si>
  <si>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</si>
  <si>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</si>
  <si>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</si>
  <si>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</si>
  <si>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</si>
  <si>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</si>
  <si>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</si>
  <si>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</si>
  <si>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</si>
  <si>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</si>
  <si>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</si>
  <si>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</si>
  <si>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</si>
  <si>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</si>
  <si>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</si>
  <si>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</si>
  <si>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</si>
  <si>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</si>
  <si>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</si>
  <si>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</si>
  <si>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</si>
  <si>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</si>
  <si>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</si>
  <si>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</si>
  <si>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</si>
  <si>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</si>
  <si>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</si>
  <si>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</si>
  <si>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</si>
  <si>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</si>
  <si>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</si>
  <si>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</si>
  <si>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</si>
  <si>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</si>
  <si>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</si>
  <si>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</si>
  <si>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</si>
  <si>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</si>
  <si>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</si>
  <si>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</si>
  <si>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</si>
  <si>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</si>
  <si>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</si>
  <si>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</si>
  <si>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</si>
  <si>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</si>
  <si>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</si>
  <si>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LLPA</t>
  </si>
  <si>
    <t>Premier</t>
  </si>
  <si>
    <t>1) Prepayment penalties for Investor Only</t>
  </si>
  <si>
    <t>2) Prepayment penalties not allowed in AK, KS, MI, MN, NM, OH, and RI</t>
  </si>
  <si>
    <t>3) Prepayment penalties not allowed on loans vested to individuals in IL &amp; NJ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</si>
  <si>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</si>
  <si>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</si>
  <si>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</si>
  <si>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</si>
  <si>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</si>
  <si>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</si>
  <si>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</si>
  <si>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</si>
  <si>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</si>
  <si>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</si>
  <si>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</si>
  <si>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</si>
  <si>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</si>
  <si>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</si>
  <si>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</si>
  <si>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</si>
  <si>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</si>
  <si>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</si>
  <si>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</si>
  <si>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</si>
  <si>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</si>
  <si>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</si>
  <si>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</si>
  <si>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Price Special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</si>
  <si>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</si>
  <si>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</si>
  <si>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</si>
  <si>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</si>
  <si>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</si>
  <si>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</si>
  <si>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</si>
  <si>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</si>
  <si>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</si>
  <si>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</si>
  <si>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</si>
  <si>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</si>
  <si>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</si>
  <si>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</si>
  <si>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</si>
  <si>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</si>
  <si>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</si>
  <si>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</si>
  <si>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</si>
  <si>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</si>
  <si>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</si>
  <si>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</si>
  <si>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</si>
  <si>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</si>
  <si>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</si>
  <si>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</si>
  <si>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</si>
  <si>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</si>
  <si>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</si>
  <si>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</si>
  <si>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</si>
  <si>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</si>
  <si>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</si>
  <si>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</si>
  <si>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</si>
  <si>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</si>
  <si>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</si>
  <si>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</si>
  <si>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</si>
  <si>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</si>
  <si>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</si>
  <si>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</si>
  <si>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</si>
  <si>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</si>
  <si>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</si>
  <si>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</si>
  <si>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</si>
  <si>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</si>
  <si>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</si>
  <si>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</si>
  <si>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</si>
  <si>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</si>
  <si>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</si>
  <si>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</si>
  <si>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</si>
  <si>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</si>
  <si>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</si>
  <si>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</si>
  <si>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</si>
  <si>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</si>
  <si>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</si>
  <si>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</si>
  <si>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</si>
  <si>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</si>
  <si>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Full Doc 1YR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</si>
  <si>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</si>
  <si>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</si>
  <si>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</si>
  <si>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</si>
  <si>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</si>
  <si>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</si>
  <si>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</si>
  <si>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</si>
  <si>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</si>
  <si>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</si>
  <si>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</si>
  <si>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</si>
  <si>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</si>
  <si>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</si>
  <si>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</si>
  <si>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</si>
  <si>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</si>
  <si>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</si>
  <si>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</si>
  <si>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</si>
  <si>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</si>
  <si>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</si>
  <si>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</si>
  <si>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</si>
  <si>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</si>
  <si>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</si>
  <si>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</si>
  <si>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</si>
  <si>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</si>
  <si>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</si>
  <si>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</si>
  <si>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</si>
  <si>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</si>
  <si>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New</t>
  </si>
  <si>
    <t>40 YR Fixed</t>
  </si>
  <si>
    <t>Purchase / Rate &amp; Term</t>
  </si>
  <si>
    <t>PrePay Term</t>
  </si>
  <si>
    <t>N/A on &lt;36 Mo PPP</t>
  </si>
  <si>
    <t>NONI58+ NEW</t>
  </si>
  <si>
    <t>theLender</t>
  </si>
  <si>
    <t>NQMF</t>
  </si>
  <si>
    <t>CPA P&amp;L - 12 Months or 24 Months</t>
  </si>
  <si>
    <t>CPA P&amp;L - 12 Months or 24 Months w/3 months Bank Statements</t>
  </si>
  <si>
    <t>5% Fixed PPP</t>
  </si>
  <si>
    <t>NONI58+ Pricer</t>
  </si>
  <si>
    <t xml:space="preserve">DSCR </t>
  </si>
  <si>
    <t>Prepay Min/Max Price</t>
  </si>
  <si>
    <t>Cash Out</t>
  </si>
  <si>
    <t xml:space="preserve">     than $312,159 in PA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</si>
  <si>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</si>
  <si>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</si>
  <si>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</si>
  <si>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</si>
  <si>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</si>
  <si>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</si>
  <si>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</si>
  <si>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</si>
  <si>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</si>
  <si>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</si>
  <si>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</si>
  <si>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</si>
  <si>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</si>
  <si>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</si>
  <si>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</si>
  <si>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</si>
  <si>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</si>
  <si>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</si>
  <si>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</si>
  <si>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</si>
  <si>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</si>
  <si>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</si>
  <si>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</si>
  <si>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</si>
  <si>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</si>
  <si>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</si>
  <si>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</si>
  <si>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</si>
  <si>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</si>
  <si>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</si>
  <si>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</si>
  <si>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</si>
  <si>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</si>
  <si>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</si>
  <si>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</si>
  <si>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</si>
  <si>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</si>
  <si>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</si>
  <si>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</si>
  <si>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</si>
  <si>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</si>
  <si>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</si>
  <si>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</si>
  <si>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</si>
  <si>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</si>
  <si>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</si>
  <si>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</si>
  <si>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</si>
  <si>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</si>
  <si>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</si>
  <si>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</si>
  <si>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</si>
  <si>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</si>
  <si>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</si>
  <si>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</si>
  <si>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</si>
  <si>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</si>
  <si>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</si>
  <si>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</si>
  <si>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</si>
  <si>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</si>
  <si>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</si>
  <si>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</si>
  <si>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</si>
  <si>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</si>
  <si>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</si>
  <si>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</si>
  <si>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</si>
  <si>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</si>
  <si>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</si>
  <si>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</si>
  <si>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</si>
  <si>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</si>
  <si>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</si>
  <si>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</si>
  <si>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</si>
  <si>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</si>
  <si>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</si>
  <si>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</si>
  <si>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</si>
  <si>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</si>
  <si>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</si>
  <si>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</si>
  <si>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</si>
  <si>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</si>
  <si>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</si>
  <si>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</si>
  <si>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</si>
  <si>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</si>
  <si>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</si>
  <si>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</si>
  <si>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</si>
  <si>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</si>
  <si>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</si>
  <si>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</si>
  <si>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</si>
  <si>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</si>
  <si>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</si>
  <si>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 xml:space="preserve">     in NJ</t>
  </si>
  <si>
    <t xml:space="preserve">2. NJ -Prepayment penalties not allowed on loans vested to individuals </t>
  </si>
  <si>
    <t>50,000 - 100k</t>
  </si>
  <si>
    <t>4) Prepayment penalties not allowed on loan amounts less than $319,777 in PA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</si>
  <si>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</si>
  <si>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</si>
  <si>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$312,159 in PA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</si>
  <si>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</si>
  <si>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</si>
  <si>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</si>
  <si>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</si>
  <si>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</si>
  <si>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</si>
  <si>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</si>
  <si>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</si>
  <si>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</si>
  <si>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</si>
  <si>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</si>
  <si>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</si>
  <si>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</si>
  <si>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</si>
  <si>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</si>
  <si>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Spread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</si>
  <si>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</si>
  <si>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</si>
  <si>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</si>
  <si>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</si>
  <si>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</si>
  <si>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</si>
  <si>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</si>
  <si>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</si>
  <si>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</si>
  <si>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</si>
  <si>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</si>
  <si>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</si>
  <si>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</si>
  <si>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NONI eQuity</t>
  </si>
  <si>
    <t>*Ineligible Property Types/Conditions: Condotel, NW Condo, Rural, Leasehold, 0 month reserves and the Super NONI program.</t>
  </si>
  <si>
    <t>Min 680 FICO &amp; Max 65% CLTV &amp;DSCR ≥ 1.15</t>
  </si>
  <si>
    <t>Min 680 FICO &amp; Max 65% CLTV &amp; Max DTI 43%</t>
  </si>
  <si>
    <t>NQHEM eQuity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</si>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</sst>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[$-F400]h:mm:ss\ AM/PM"/>
    <numFmt numFmtId="172" formatCode="#,##0.000_);\(#,##0.000\)"/>
    <numFmt numFmtId="173" formatCode="#,##0.000"/>
    <numFmt numFmtId="174" formatCode="\+0.000;\-0.000;&quot;-&quot;"/>
    <numFmt numFmtId="175" formatCode="[$-409]mmmm\ d\,\ yyyy;@"/>
    <numFmt numFmtId="176" formatCode="_(* #,##0.000_);_(* \(#,##0.000\);_(* &quot;-&quot;??_);_(@_)"/>
    <numFmt numFmtId="177" formatCode="0.00000"/>
    <numFmt numFmtId="178" formatCode="0.000_);[Red]\(0.000\)"/>
    <numFmt numFmtId="179" formatCode="\(0.000\);0.000_)"/>
    <numFmt numFmtId="180" formatCode="[&lt;=9999999]###\-####;\(###\)\ ###\-####"/>
    <numFmt numFmtId="181" formatCode="[$-409]m/d/yy\ h:mm\ AM/PM;@"/>
    <numFmt numFmtId="182" formatCode="mm/dd/yyyy\ h:mm\ AM/PM"/>
  </numFmts>
  <fonts count="1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vertAlign val="superscript"/>
      <sz val="10"/>
      <name val="Times New Roman"/>
      <family val="1"/>
    </font>
    <font>
      <i/>
      <sz val="6"/>
      <color theme="1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3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7" fillId="0" borderId="0"/>
    <xf numFmtId="0" fontId="166" fillId="0" borderId="0" applyNumberFormat="0" applyFill="0" applyBorder="0" applyAlignment="0" applyProtection="0">
      <alignment vertical="top"/>
      <protection locked="0"/>
    </xf>
    <xf numFmtId="0" fontId="137" fillId="0" borderId="0"/>
  </cellStyleXfs>
  <cellXfs count="2169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" fillId="0" borderId="0" xfId="0" applyFont="1"/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8" borderId="15" xfId="1" applyNumberFormat="1" applyFont="1" applyFill="1" applyBorder="1" applyAlignment="1">
      <alignment horizontal="left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8" fillId="0" borderId="0" xfId="0" applyFont="1" applyAlignment="1">
      <alignment horizontal="center" vertical="center"/>
    </xf>
    <xf numFmtId="164" fontId="0" fillId="0" borderId="52" xfId="0" applyNumberFormat="1" applyBorder="1"/>
    <xf numFmtId="164" fontId="0" fillId="0" borderId="43" xfId="0" applyNumberFormat="1" applyBorder="1"/>
    <xf numFmtId="0" fontId="8" fillId="0" borderId="46" xfId="0" applyFont="1" applyBorder="1" applyAlignment="1">
      <alignment horizontal="center" vertical="center"/>
    </xf>
    <xf numFmtId="164" fontId="0" fillId="0" borderId="51" xfId="0" applyNumberFormat="1" applyBorder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0" fontId="93" fillId="9" borderId="0" xfId="0" applyFont="1" applyFill="1"/>
    <xf numFmtId="0" fontId="93" fillId="9" borderId="0" xfId="0" applyFont="1" applyFill="1" applyAlignment="1">
      <alignment vertical="top"/>
    </xf>
    <xf numFmtId="0" fontId="94" fillId="9" borderId="21" xfId="0" applyFont="1" applyFill="1" applyBorder="1" applyAlignment="1">
      <alignment horizontal="left"/>
    </xf>
    <xf numFmtId="171" fontId="24" fillId="9" borderId="24" xfId="0" quotePrefix="1" applyNumberFormat="1" applyFont="1" applyFill="1" applyBorder="1" applyAlignment="1">
      <alignment horizontal="right"/>
    </xf>
    <xf numFmtId="165" fontId="24" fillId="9" borderId="24" xfId="0" quotePrefix="1" applyNumberFormat="1" applyFont="1" applyFill="1" applyBorder="1" applyAlignment="1">
      <alignment horizontal="right" vertical="center"/>
    </xf>
    <xf numFmtId="0" fontId="96" fillId="9" borderId="0" xfId="0" applyFont="1" applyFill="1" applyAlignment="1">
      <alignment vertical="top" wrapText="1"/>
    </xf>
    <xf numFmtId="10" fontId="93" fillId="9" borderId="0" xfId="3" applyNumberFormat="1" applyFont="1" applyFill="1" applyAlignment="1">
      <alignment horizontal="center"/>
    </xf>
    <xf numFmtId="0" fontId="24" fillId="9" borderId="79" xfId="0" applyFont="1" applyFill="1" applyBorder="1" applyAlignment="1">
      <alignment horizontal="left"/>
    </xf>
    <xf numFmtId="0" fontId="24" fillId="9" borderId="80" xfId="0" applyFont="1" applyFill="1" applyBorder="1" applyAlignment="1">
      <alignment horizontal="centerContinuous"/>
    </xf>
    <xf numFmtId="0" fontId="24" fillId="9" borderId="81" xfId="0" applyFont="1" applyFill="1" applyBorder="1" applyAlignment="1">
      <alignment horizontal="centerContinuous"/>
    </xf>
    <xf numFmtId="166" fontId="93" fillId="8" borderId="82" xfId="1" applyNumberFormat="1" applyFont="1" applyFill="1" applyBorder="1" applyAlignment="1">
      <alignment horizontal="left"/>
    </xf>
    <xf numFmtId="166" fontId="93" fillId="8" borderId="0" xfId="1" applyNumberFormat="1" applyFont="1" applyFill="1" applyBorder="1" applyAlignment="1">
      <alignment horizontal="left"/>
    </xf>
    <xf numFmtId="170" fontId="93" fillId="8" borderId="83" xfId="3" applyNumberFormat="1" applyFont="1" applyFill="1" applyBorder="1" applyAlignment="1">
      <alignment horizontal="center"/>
    </xf>
    <xf numFmtId="166" fontId="93" fillId="9" borderId="82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70" fontId="93" fillId="9" borderId="83" xfId="3" applyNumberFormat="1" applyFont="1" applyFill="1" applyBorder="1" applyAlignment="1">
      <alignment horizontal="center"/>
    </xf>
    <xf numFmtId="170" fontId="93" fillId="8" borderId="0" xfId="3" applyNumberFormat="1" applyFont="1" applyFill="1" applyBorder="1" applyAlignment="1">
      <alignment horizontal="center"/>
    </xf>
    <xf numFmtId="166" fontId="93" fillId="9" borderId="84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70" fontId="93" fillId="9" borderId="85" xfId="3" applyNumberFormat="1" applyFont="1" applyFill="1" applyBorder="1" applyAlignment="1">
      <alignment horizontal="center"/>
    </xf>
    <xf numFmtId="166" fontId="98" fillId="9" borderId="82" xfId="1" applyNumberFormat="1" applyFont="1" applyFill="1" applyBorder="1" applyAlignment="1">
      <alignment horizontal="left"/>
    </xf>
    <xf numFmtId="0" fontId="98" fillId="9" borderId="82" xfId="0" applyFont="1" applyFill="1" applyBorder="1"/>
    <xf numFmtId="0" fontId="93" fillId="9" borderId="83" xfId="0" applyFont="1" applyFill="1" applyBorder="1"/>
    <xf numFmtId="0" fontId="98" fillId="9" borderId="86" xfId="0" applyFont="1" applyFill="1" applyBorder="1"/>
    <xf numFmtId="0" fontId="93" fillId="9" borderId="87" xfId="0" applyFont="1" applyFill="1" applyBorder="1"/>
    <xf numFmtId="0" fontId="93" fillId="9" borderId="88" xfId="0" applyFont="1" applyFill="1" applyBorder="1"/>
    <xf numFmtId="0" fontId="24" fillId="9" borderId="89" xfId="0" applyFont="1" applyFill="1" applyBorder="1" applyAlignment="1">
      <alignment horizontal="center"/>
    </xf>
    <xf numFmtId="0" fontId="24" fillId="9" borderId="90" xfId="0" applyFont="1" applyFill="1" applyBorder="1" applyAlignment="1">
      <alignment horizontal="center"/>
    </xf>
    <xf numFmtId="0" fontId="24" fillId="9" borderId="91" xfId="0" applyFont="1" applyFill="1" applyBorder="1" applyAlignment="1">
      <alignment horizontal="center"/>
    </xf>
    <xf numFmtId="166" fontId="93" fillId="8" borderId="82" xfId="1" applyNumberFormat="1" applyFont="1" applyFill="1" applyBorder="1" applyAlignment="1">
      <alignment horizontal="center"/>
    </xf>
    <xf numFmtId="164" fontId="93" fillId="8" borderId="0" xfId="1" applyNumberFormat="1" applyFont="1" applyFill="1" applyBorder="1" applyAlignment="1">
      <alignment horizontal="center"/>
    </xf>
    <xf numFmtId="164" fontId="93" fillId="8" borderId="83" xfId="1" applyNumberFormat="1" applyFont="1" applyFill="1" applyBorder="1" applyAlignment="1">
      <alignment horizontal="center"/>
    </xf>
    <xf numFmtId="166" fontId="93" fillId="9" borderId="82" xfId="1" applyNumberFormat="1" applyFont="1" applyFill="1" applyBorder="1" applyAlignment="1">
      <alignment horizontal="center"/>
    </xf>
    <xf numFmtId="164" fontId="93" fillId="9" borderId="0" xfId="1" applyNumberFormat="1" applyFont="1" applyFill="1" applyBorder="1" applyAlignment="1">
      <alignment horizontal="center"/>
    </xf>
    <xf numFmtId="164" fontId="93" fillId="9" borderId="83" xfId="1" applyNumberFormat="1" applyFont="1" applyFill="1" applyBorder="1" applyAlignment="1">
      <alignment horizontal="center"/>
    </xf>
    <xf numFmtId="164" fontId="93" fillId="16" borderId="83" xfId="1" applyNumberFormat="1" applyFont="1" applyFill="1" applyBorder="1" applyAlignment="1">
      <alignment horizontal="center"/>
    </xf>
    <xf numFmtId="166" fontId="93" fillId="9" borderId="84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164" fontId="93" fillId="12" borderId="85" xfId="1" applyNumberFormat="1" applyFont="1" applyFill="1" applyBorder="1" applyAlignment="1">
      <alignment horizontal="center"/>
    </xf>
    <xf numFmtId="0" fontId="98" fillId="9" borderId="2" xfId="0" applyFont="1" applyFill="1" applyBorder="1"/>
    <xf numFmtId="0" fontId="98" fillId="9" borderId="13" xfId="0" applyFont="1" applyFill="1" applyBorder="1"/>
    <xf numFmtId="0" fontId="98" fillId="9" borderId="92" xfId="0" applyFont="1" applyFill="1" applyBorder="1"/>
    <xf numFmtId="0" fontId="98" fillId="9" borderId="0" xfId="0" applyFont="1" applyFill="1"/>
    <xf numFmtId="0" fontId="98" fillId="9" borderId="83" xfId="0" applyFont="1" applyFill="1" applyBorder="1"/>
    <xf numFmtId="0" fontId="93" fillId="9" borderId="82" xfId="0" applyFont="1" applyFill="1" applyBorder="1"/>
    <xf numFmtId="0" fontId="98" fillId="9" borderId="87" xfId="0" applyFont="1" applyFill="1" applyBorder="1"/>
    <xf numFmtId="0" fontId="98" fillId="9" borderId="88" xfId="0" applyFont="1" applyFill="1" applyBorder="1"/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101" fillId="9" borderId="2" xfId="0" applyFont="1" applyFill="1" applyBorder="1" applyAlignment="1">
      <alignment horizontal="left"/>
    </xf>
    <xf numFmtId="0" fontId="101" fillId="9" borderId="13" xfId="0" applyFont="1" applyFill="1" applyBorder="1" applyAlignment="1">
      <alignment horizontal="centerContinuous"/>
    </xf>
    <xf numFmtId="0" fontId="102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8" borderId="0" xfId="1" applyNumberFormat="1" applyFont="1" applyFill="1" applyBorder="1" applyAlignment="1">
      <alignment horizontal="center"/>
    </xf>
    <xf numFmtId="164" fontId="94" fillId="18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101" fillId="0" borderId="2" xfId="0" applyFont="1" applyBorder="1" applyAlignment="1">
      <alignment horizontal="left"/>
    </xf>
    <xf numFmtId="0" fontId="101" fillId="0" borderId="13" xfId="0" applyFont="1" applyBorder="1" applyAlignment="1">
      <alignment horizontal="centerContinuous"/>
    </xf>
    <xf numFmtId="0" fontId="102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3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93" xfId="0" applyFont="1" applyBorder="1" applyAlignment="1">
      <alignment horizontal="left"/>
    </xf>
    <xf numFmtId="0" fontId="24" fillId="0" borderId="94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82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3" xfId="1" applyNumberFormat="1" applyFont="1" applyFill="1" applyBorder="1" applyAlignment="1">
      <alignment horizontal="center"/>
    </xf>
    <xf numFmtId="166" fontId="24" fillId="0" borderId="82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4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5" xfId="1" applyNumberFormat="1" applyFont="1" applyFill="1" applyBorder="1" applyAlignment="1">
      <alignment horizontal="center"/>
    </xf>
    <xf numFmtId="0" fontId="24" fillId="0" borderId="94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6" xfId="0" applyFont="1" applyBorder="1"/>
    <xf numFmtId="0" fontId="24" fillId="0" borderId="87" xfId="0" applyFont="1" applyBorder="1"/>
    <xf numFmtId="0" fontId="24" fillId="0" borderId="83" xfId="0" applyFont="1" applyBorder="1"/>
    <xf numFmtId="166" fontId="24" fillId="0" borderId="86" xfId="1" applyNumberFormat="1" applyFont="1" applyFill="1" applyBorder="1" applyAlignment="1">
      <alignment horizontal="left"/>
    </xf>
    <xf numFmtId="0" fontId="24" fillId="0" borderId="87" xfId="3" applyNumberFormat="1" applyFont="1" applyFill="1" applyBorder="1" applyAlignment="1">
      <alignment horizontal="center"/>
    </xf>
    <xf numFmtId="0" fontId="24" fillId="0" borderId="95" xfId="3" applyNumberFormat="1" applyFont="1" applyFill="1" applyBorder="1" applyAlignment="1">
      <alignment horizontal="center"/>
    </xf>
    <xf numFmtId="0" fontId="24" fillId="0" borderId="90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3" xfId="3" applyNumberFormat="1" applyFont="1" applyFill="1" applyBorder="1" applyAlignment="1">
      <alignment horizontal="center"/>
    </xf>
    <xf numFmtId="0" fontId="24" fillId="0" borderId="84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5" xfId="3" applyNumberFormat="1" applyFont="1" applyFill="1" applyBorder="1" applyAlignment="1">
      <alignment horizontal="center"/>
    </xf>
    <xf numFmtId="0" fontId="104" fillId="0" borderId="82" xfId="0" applyFont="1" applyBorder="1"/>
    <xf numFmtId="0" fontId="105" fillId="0" borderId="0" xfId="0" applyFont="1"/>
    <xf numFmtId="0" fontId="105" fillId="0" borderId="92" xfId="0" applyFont="1" applyBorder="1"/>
    <xf numFmtId="0" fontId="104" fillId="0" borderId="86" xfId="0" applyFont="1" applyBorder="1"/>
    <xf numFmtId="0" fontId="105" fillId="0" borderId="87" xfId="0" applyFont="1" applyBorder="1"/>
    <xf numFmtId="0" fontId="105" fillId="0" borderId="88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4" borderId="15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49" xfId="0" applyFont="1" applyFill="1" applyBorder="1"/>
    <xf numFmtId="0" fontId="11" fillId="4" borderId="50" xfId="0" applyFont="1" applyFill="1" applyBorder="1"/>
    <xf numFmtId="0" fontId="106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7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3" fontId="21" fillId="0" borderId="96" xfId="0" quotePrefix="1" applyNumberFormat="1" applyFont="1" applyBorder="1" applyAlignment="1" applyProtection="1">
      <alignment horizontal="center" vertical="center"/>
      <protection hidden="1"/>
    </xf>
    <xf numFmtId="173" fontId="21" fillId="0" borderId="97" xfId="0" quotePrefix="1" applyNumberFormat="1" applyFont="1" applyBorder="1" applyAlignment="1" applyProtection="1">
      <alignment horizontal="center" vertical="center"/>
      <protection hidden="1"/>
    </xf>
    <xf numFmtId="173" fontId="21" fillId="0" borderId="98" xfId="0" quotePrefix="1" applyNumberFormat="1" applyFont="1" applyBorder="1" applyAlignment="1" applyProtection="1">
      <alignment horizontal="center" vertical="center"/>
      <protection hidden="1"/>
    </xf>
    <xf numFmtId="2" fontId="108" fillId="0" borderId="27" xfId="0" applyNumberFormat="1" applyFont="1" applyBorder="1" applyAlignment="1" applyProtection="1">
      <alignment vertical="center"/>
      <protection hidden="1"/>
    </xf>
    <xf numFmtId="173" fontId="21" fillId="0" borderId="100" xfId="0" quotePrefix="1" applyNumberFormat="1" applyFont="1" applyBorder="1" applyAlignment="1" applyProtection="1">
      <alignment horizontal="center" vertical="center"/>
      <protection hidden="1"/>
    </xf>
    <xf numFmtId="173" fontId="21" fillId="0" borderId="101" xfId="0" quotePrefix="1" applyNumberFormat="1" applyFont="1" applyBorder="1" applyAlignment="1" applyProtection="1">
      <alignment horizontal="center" vertical="center"/>
      <protection hidden="1"/>
    </xf>
    <xf numFmtId="173" fontId="21" fillId="0" borderId="102" xfId="0" quotePrefix="1" applyNumberFormat="1" applyFont="1" applyBorder="1" applyAlignment="1" applyProtection="1">
      <alignment horizontal="center" vertical="center"/>
      <protection hidden="1"/>
    </xf>
    <xf numFmtId="2" fontId="21" fillId="0" borderId="103" xfId="0" quotePrefix="1" applyNumberFormat="1" applyFont="1" applyBorder="1" applyAlignment="1" applyProtection="1">
      <alignment horizontal="left" vertical="center"/>
      <protection hidden="1"/>
    </xf>
    <xf numFmtId="2" fontId="108" fillId="0" borderId="26" xfId="0" applyNumberFormat="1" applyFont="1" applyBorder="1" applyAlignment="1" applyProtection="1">
      <alignment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173" fontId="21" fillId="0" borderId="105" xfId="0" quotePrefix="1" applyNumberFormat="1" applyFont="1" applyBorder="1" applyAlignment="1" applyProtection="1">
      <alignment horizontal="center" vertical="center"/>
      <protection hidden="1"/>
    </xf>
    <xf numFmtId="173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quotePrefix="1" applyNumberFormat="1" applyFont="1" applyBorder="1" applyAlignment="1" applyProtection="1">
      <alignment horizontal="left" vertical="center"/>
      <protection hidden="1"/>
    </xf>
    <xf numFmtId="2" fontId="108" fillId="0" borderId="25" xfId="0" applyNumberFormat="1" applyFont="1" applyBorder="1" applyAlignment="1" applyProtection="1">
      <alignment vertical="center"/>
      <protection hidden="1"/>
    </xf>
    <xf numFmtId="173" fontId="21" fillId="0" borderId="97" xfId="0" applyNumberFormat="1" applyFont="1" applyBorder="1" applyAlignment="1" applyProtection="1">
      <alignment horizontal="center" vertical="center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8" fillId="0" borderId="27" xfId="0" applyNumberFormat="1" applyFont="1" applyBorder="1" applyAlignment="1" applyProtection="1">
      <alignment vertical="center" wrapText="1"/>
      <protection hidden="1"/>
    </xf>
    <xf numFmtId="173" fontId="21" fillId="0" borderId="110" xfId="0" quotePrefix="1" applyNumberFormat="1" applyFont="1" applyBorder="1" applyAlignment="1" applyProtection="1">
      <alignment horizontal="center" vertical="center"/>
      <protection hidden="1"/>
    </xf>
    <xf numFmtId="173" fontId="21" fillId="0" borderId="111" xfId="0" quotePrefix="1" applyNumberFormat="1" applyFont="1" applyBorder="1" applyAlignment="1" applyProtection="1">
      <alignment horizontal="center" vertical="center"/>
      <protection hidden="1"/>
    </xf>
    <xf numFmtId="2" fontId="21" fillId="0" borderId="112" xfId="0" applyNumberFormat="1" applyFont="1" applyBorder="1" applyAlignment="1" applyProtection="1">
      <alignment vertical="center"/>
      <protection hidden="1"/>
    </xf>
    <xf numFmtId="2" fontId="108" fillId="0" borderId="25" xfId="0" applyNumberFormat="1" applyFont="1" applyBorder="1" applyAlignment="1" applyProtection="1">
      <alignment vertical="center" wrapText="1"/>
      <protection hidden="1"/>
    </xf>
    <xf numFmtId="2" fontId="21" fillId="0" borderId="113" xfId="0" applyNumberFormat="1" applyFont="1" applyBorder="1" applyAlignment="1" applyProtection="1">
      <alignment horizontal="left" vertical="center"/>
      <protection hidden="1"/>
    </xf>
    <xf numFmtId="2" fontId="108" fillId="0" borderId="26" xfId="0" applyNumberFormat="1" applyFont="1" applyBorder="1" applyAlignment="1" applyProtection="1">
      <alignment vertical="center" wrapText="1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174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110" xfId="0" applyNumberFormat="1" applyFont="1" applyBorder="1" applyAlignment="1" applyProtection="1">
      <alignment horizontal="center" vertical="center"/>
      <protection hidden="1"/>
    </xf>
    <xf numFmtId="174" fontId="21" fillId="0" borderId="115" xfId="0" quotePrefix="1" applyNumberFormat="1" applyFont="1" applyBorder="1" applyAlignment="1" applyProtection="1">
      <alignment horizontal="left" vertical="center"/>
      <protection hidden="1"/>
    </xf>
    <xf numFmtId="173" fontId="21" fillId="0" borderId="117" xfId="0" quotePrefix="1" applyNumberFormat="1" applyFont="1" applyBorder="1" applyAlignment="1" applyProtection="1">
      <alignment horizontal="center" vertical="center"/>
      <protection hidden="1"/>
    </xf>
    <xf numFmtId="173" fontId="21" fillId="0" borderId="118" xfId="0" quotePrefix="1" applyNumberFormat="1" applyFont="1" applyBorder="1" applyAlignment="1" applyProtection="1">
      <alignment horizontal="center" vertical="center"/>
      <protection hidden="1"/>
    </xf>
    <xf numFmtId="174" fontId="21" fillId="0" borderId="119" xfId="0" quotePrefix="1" applyNumberFormat="1" applyFont="1" applyBorder="1" applyAlignment="1" applyProtection="1">
      <alignment horizontal="left" vertical="center"/>
      <protection hidden="1"/>
    </xf>
    <xf numFmtId="174" fontId="21" fillId="0" borderId="103" xfId="0" quotePrefix="1" applyNumberFormat="1" applyFont="1" applyBorder="1" applyAlignment="1" applyProtection="1">
      <alignment horizontal="left" vertical="center"/>
      <protection hidden="1"/>
    </xf>
    <xf numFmtId="174" fontId="21" fillId="0" borderId="120" xfId="0" quotePrefix="1" applyNumberFormat="1" applyFont="1" applyBorder="1" applyAlignment="1" applyProtection="1">
      <alignment horizontal="left" vertical="center"/>
      <protection hidden="1"/>
    </xf>
    <xf numFmtId="173" fontId="21" fillId="0" borderId="101" xfId="0" applyNumberFormat="1" applyFont="1" applyBorder="1" applyAlignment="1" applyProtection="1">
      <alignment horizontal="center" vertical="center"/>
      <protection hidden="1"/>
    </xf>
    <xf numFmtId="173" fontId="21" fillId="0" borderId="102" xfId="0" applyNumberFormat="1" applyFont="1" applyBorder="1" applyAlignment="1" applyProtection="1">
      <alignment horizontal="center" vertical="center"/>
      <protection hidden="1"/>
    </xf>
    <xf numFmtId="174" fontId="21" fillId="0" borderId="103" xfId="0" applyNumberFormat="1" applyFont="1" applyBorder="1" applyAlignment="1" applyProtection="1">
      <alignment horizontal="left" vertical="center"/>
      <protection hidden="1"/>
    </xf>
    <xf numFmtId="173" fontId="21" fillId="0" borderId="111" xfId="0" applyNumberFormat="1" applyFont="1" applyBorder="1" applyAlignment="1" applyProtection="1">
      <alignment horizontal="center" vertical="center"/>
      <protection hidden="1"/>
    </xf>
    <xf numFmtId="2" fontId="108" fillId="0" borderId="26" xfId="0" quotePrefix="1" applyNumberFormat="1" applyFont="1" applyBorder="1" applyAlignment="1" applyProtection="1">
      <alignment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172" fontId="21" fillId="0" borderId="102" xfId="0" quotePrefix="1" applyNumberFormat="1" applyFont="1" applyBorder="1" applyAlignment="1" applyProtection="1">
      <alignment horizontal="center" vertical="center"/>
      <protection hidden="1"/>
    </xf>
    <xf numFmtId="172" fontId="21" fillId="0" borderId="110" xfId="0" quotePrefix="1" applyNumberFormat="1" applyFont="1" applyBorder="1" applyAlignment="1" applyProtection="1">
      <alignment horizontal="center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2" fontId="108" fillId="0" borderId="121" xfId="0" quotePrefix="1" applyNumberFormat="1" applyFont="1" applyBorder="1" applyAlignment="1" applyProtection="1">
      <alignment vertical="center"/>
      <protection hidden="1"/>
    </xf>
    <xf numFmtId="173" fontId="21" fillId="0" borderId="97" xfId="12" applyNumberFormat="1" applyFont="1" applyBorder="1" applyAlignment="1" applyProtection="1">
      <alignment horizontal="center" vertical="center"/>
      <protection hidden="1"/>
    </xf>
    <xf numFmtId="173" fontId="21" fillId="0" borderId="98" xfId="12" applyNumberFormat="1" applyFont="1" applyBorder="1" applyAlignment="1" applyProtection="1">
      <alignment horizontal="center" vertical="center"/>
      <protection hidden="1"/>
    </xf>
    <xf numFmtId="0" fontId="21" fillId="0" borderId="99" xfId="12" applyFont="1" applyBorder="1" applyAlignment="1" applyProtection="1">
      <alignment horizontal="left" vertical="center"/>
      <protection hidden="1"/>
    </xf>
    <xf numFmtId="0" fontId="110" fillId="0" borderId="122" xfId="0" quotePrefix="1" applyFont="1" applyBorder="1" applyAlignment="1" applyProtection="1">
      <alignment vertical="center"/>
      <protection hidden="1"/>
    </xf>
    <xf numFmtId="173" fontId="21" fillId="0" borderId="101" xfId="12" applyNumberFormat="1" applyFont="1" applyBorder="1" applyAlignment="1" applyProtection="1">
      <alignment horizontal="center" vertical="center"/>
      <protection hidden="1"/>
    </xf>
    <xf numFmtId="173" fontId="21" fillId="0" borderId="102" xfId="12" applyNumberFormat="1" applyFont="1" applyBorder="1" applyAlignment="1" applyProtection="1">
      <alignment horizontal="center" vertical="center"/>
      <protection hidden="1"/>
    </xf>
    <xf numFmtId="0" fontId="21" fillId="0" borderId="103" xfId="12" applyFont="1" applyBorder="1" applyAlignment="1" applyProtection="1">
      <alignment horizontal="left" vertical="center"/>
      <protection hidden="1"/>
    </xf>
    <xf numFmtId="0" fontId="110" fillId="0" borderId="26" xfId="0" quotePrefix="1" applyFont="1" applyBorder="1" applyAlignment="1" applyProtection="1">
      <alignment vertical="center"/>
      <protection hidden="1"/>
    </xf>
    <xf numFmtId="173" fontId="21" fillId="0" borderId="100" xfId="12" applyNumberFormat="1" applyFont="1" applyBorder="1" applyAlignment="1" applyProtection="1">
      <alignment horizontal="center" vertical="center"/>
      <protection hidden="1"/>
    </xf>
    <xf numFmtId="0" fontId="21" fillId="0" borderId="103" xfId="12" quotePrefix="1" applyFont="1" applyBorder="1" applyAlignment="1" applyProtection="1">
      <alignment horizontal="left" vertical="center"/>
      <protection hidden="1"/>
    </xf>
    <xf numFmtId="173" fontId="21" fillId="0" borderId="109" xfId="12" applyNumberFormat="1" applyFont="1" applyBorder="1" applyAlignment="1" applyProtection="1">
      <alignment horizontal="center" vertical="center"/>
      <protection hidden="1"/>
    </xf>
    <xf numFmtId="173" fontId="21" fillId="0" borderId="110" xfId="12" applyNumberFormat="1" applyFont="1" applyBorder="1" applyAlignment="1" applyProtection="1">
      <alignment horizontal="center" vertical="center"/>
      <protection hidden="1"/>
    </xf>
    <xf numFmtId="0" fontId="21" fillId="0" borderId="123" xfId="12" quotePrefix="1" applyFont="1" applyBorder="1" applyAlignment="1" applyProtection="1">
      <alignment horizontal="left" vertical="center"/>
      <protection hidden="1"/>
    </xf>
    <xf numFmtId="0" fontId="110" fillId="0" borderId="121" xfId="0" quotePrefix="1" applyFont="1" applyBorder="1" applyAlignment="1" applyProtection="1">
      <alignment vertical="center"/>
      <protection hidden="1"/>
    </xf>
    <xf numFmtId="173" fontId="21" fillId="0" borderId="96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10" fillId="0" borderId="14" xfId="0" quotePrefix="1" applyFont="1" applyBorder="1" applyAlignment="1" applyProtection="1">
      <alignment horizontal="left" vertical="center"/>
      <protection hidden="1"/>
    </xf>
    <xf numFmtId="0" fontId="110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3" fontId="21" fillId="0" borderId="124" xfId="0" applyNumberFormat="1" applyFont="1" applyBorder="1" applyAlignment="1" applyProtection="1">
      <alignment horizontal="center" vertical="center"/>
      <protection hidden="1"/>
    </xf>
    <xf numFmtId="173" fontId="21" fillId="0" borderId="125" xfId="0" applyNumberFormat="1" applyFont="1" applyBorder="1" applyAlignment="1" applyProtection="1">
      <alignment horizontal="center" vertical="center"/>
      <protection hidden="1"/>
    </xf>
    <xf numFmtId="173" fontId="21" fillId="0" borderId="125" xfId="0" quotePrefix="1" applyNumberFormat="1" applyFont="1" applyBorder="1" applyAlignment="1" applyProtection="1">
      <alignment horizontal="center" vertical="center"/>
      <protection hidden="1"/>
    </xf>
    <xf numFmtId="173" fontId="21" fillId="0" borderId="126" xfId="0" quotePrefix="1" applyNumberFormat="1" applyFont="1" applyBorder="1" applyAlignment="1" applyProtection="1">
      <alignment horizontal="center" vertical="center"/>
      <protection hidden="1"/>
    </xf>
    <xf numFmtId="174" fontId="109" fillId="0" borderId="99" xfId="0" quotePrefix="1" applyNumberFormat="1" applyFont="1" applyBorder="1" applyAlignment="1" applyProtection="1">
      <alignment horizontal="left" vertical="center"/>
      <protection hidden="1"/>
    </xf>
    <xf numFmtId="2" fontId="110" fillId="0" borderId="27" xfId="0" applyNumberFormat="1" applyFont="1" applyBorder="1" applyAlignment="1" applyProtection="1">
      <alignment vertical="center"/>
      <protection hidden="1"/>
    </xf>
    <xf numFmtId="173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center" vertical="center"/>
      <protection hidden="1"/>
    </xf>
    <xf numFmtId="173" fontId="21" fillId="0" borderId="129" xfId="0" quotePrefix="1" applyNumberFormat="1" applyFont="1" applyBorder="1" applyAlignment="1" applyProtection="1">
      <alignment horizontal="center" vertical="center"/>
      <protection hidden="1"/>
    </xf>
    <xf numFmtId="174" fontId="109" fillId="0" borderId="123" xfId="0" quotePrefix="1" applyNumberFormat="1" applyFont="1" applyBorder="1" applyAlignment="1" applyProtection="1">
      <alignment horizontal="left" vertical="center"/>
      <protection hidden="1"/>
    </xf>
    <xf numFmtId="2" fontId="110" fillId="0" borderId="25" xfId="0" applyNumberFormat="1" applyFont="1" applyBorder="1" applyAlignment="1" applyProtection="1">
      <alignment vertical="center"/>
      <protection hidden="1"/>
    </xf>
    <xf numFmtId="164" fontId="21" fillId="0" borderId="130" xfId="0" quotePrefix="1" applyNumberFormat="1" applyFont="1" applyBorder="1" applyAlignment="1" applyProtection="1">
      <alignment horizontal="center" vertical="center"/>
      <protection hidden="1"/>
    </xf>
    <xf numFmtId="164" fontId="21" fillId="0" borderId="131" xfId="0" quotePrefix="1" applyNumberFormat="1" applyFont="1" applyBorder="1" applyAlignment="1" applyProtection="1">
      <alignment horizontal="center" vertical="center"/>
      <protection hidden="1"/>
    </xf>
    <xf numFmtId="164" fontId="21" fillId="0" borderId="132" xfId="0" quotePrefix="1" applyNumberFormat="1" applyFont="1" applyBorder="1" applyAlignment="1" applyProtection="1">
      <alignment horizontal="center" vertical="center"/>
      <protection hidden="1"/>
    </xf>
    <xf numFmtId="164" fontId="21" fillId="0" borderId="133" xfId="0" applyNumberFormat="1" applyFont="1" applyBorder="1" applyAlignment="1" applyProtection="1">
      <alignment horizontal="left" vertical="center"/>
      <protection hidden="1"/>
    </xf>
    <xf numFmtId="2" fontId="110" fillId="0" borderId="26" xfId="0" applyNumberFormat="1" applyFont="1" applyBorder="1" applyAlignment="1" applyProtection="1">
      <alignment vertical="center"/>
      <protection hidden="1"/>
    </xf>
    <xf numFmtId="164" fontId="21" fillId="0" borderId="133" xfId="0" quotePrefix="1" applyNumberFormat="1" applyFont="1" applyBorder="1" applyAlignment="1" applyProtection="1">
      <alignment horizontal="left" vertical="center"/>
      <protection hidden="1"/>
    </xf>
    <xf numFmtId="164" fontId="21" fillId="0" borderId="134" xfId="0" quotePrefix="1" applyNumberFormat="1" applyFont="1" applyBorder="1" applyAlignment="1" applyProtection="1">
      <alignment horizontal="center" vertical="center"/>
      <protection hidden="1"/>
    </xf>
    <xf numFmtId="164" fontId="21" fillId="0" borderId="135" xfId="0" quotePrefix="1" applyNumberFormat="1" applyFont="1" applyBorder="1" applyAlignment="1" applyProtection="1">
      <alignment horizontal="center" vertical="center"/>
      <protection hidden="1"/>
    </xf>
    <xf numFmtId="164" fontId="21" fillId="0" borderId="136" xfId="0" quotePrefix="1" applyNumberFormat="1" applyFont="1" applyBorder="1" applyAlignment="1" applyProtection="1">
      <alignment horizontal="center" vertical="center"/>
      <protection hidden="1"/>
    </xf>
    <xf numFmtId="164" fontId="21" fillId="0" borderId="137" xfId="0" quotePrefix="1" applyNumberFormat="1" applyFont="1" applyBorder="1" applyAlignment="1" applyProtection="1">
      <alignment horizontal="left" vertical="center"/>
      <protection hidden="1"/>
    </xf>
    <xf numFmtId="174" fontId="21" fillId="0" borderId="99" xfId="0" quotePrefix="1" applyNumberFormat="1" applyFont="1" applyBorder="1" applyAlignment="1" applyProtection="1">
      <alignment horizontal="left" vertical="center"/>
      <protection hidden="1"/>
    </xf>
    <xf numFmtId="174" fontId="21" fillId="0" borderId="123" xfId="0" quotePrefix="1" applyNumberFormat="1" applyFont="1" applyBorder="1" applyAlignment="1" applyProtection="1">
      <alignment horizontal="left" vertical="center"/>
      <protection hidden="1"/>
    </xf>
    <xf numFmtId="173" fontId="21" fillId="0" borderId="116" xfId="0" quotePrefix="1" applyNumberFormat="1" applyFont="1" applyBorder="1" applyAlignment="1" applyProtection="1">
      <alignment horizontal="center" vertical="center"/>
      <protection hidden="1"/>
    </xf>
    <xf numFmtId="173" fontId="21" fillId="0" borderId="130" xfId="0" quotePrefix="1" applyNumberFormat="1" applyFont="1" applyBorder="1" applyAlignment="1" applyProtection="1">
      <alignment horizontal="center" vertical="center"/>
      <protection hidden="1"/>
    </xf>
    <xf numFmtId="173" fontId="21" fillId="0" borderId="131" xfId="0" quotePrefix="1" applyNumberFormat="1" applyFont="1" applyBorder="1" applyAlignment="1" applyProtection="1">
      <alignment horizontal="center" vertical="center"/>
      <protection hidden="1"/>
    </xf>
    <xf numFmtId="173" fontId="21" fillId="0" borderId="132" xfId="0" quotePrefix="1" applyNumberFormat="1" applyFont="1" applyBorder="1" applyAlignment="1" applyProtection="1">
      <alignment horizontal="center" vertical="center"/>
      <protection hidden="1"/>
    </xf>
    <xf numFmtId="174" fontId="21" fillId="0" borderId="133" xfId="0" quotePrefix="1" applyNumberFormat="1" applyFont="1" applyBorder="1" applyAlignment="1" applyProtection="1">
      <alignment horizontal="left" vertical="center"/>
      <protection hidden="1"/>
    </xf>
    <xf numFmtId="173" fontId="21" fillId="0" borderId="138" xfId="0" quotePrefix="1" applyNumberFormat="1" applyFont="1" applyBorder="1" applyAlignment="1" applyProtection="1">
      <alignment horizontal="center" vertical="center"/>
      <protection hidden="1"/>
    </xf>
    <xf numFmtId="173" fontId="21" fillId="0" borderId="139" xfId="0" quotePrefix="1" applyNumberFormat="1" applyFont="1" applyBorder="1" applyAlignment="1" applyProtection="1">
      <alignment horizontal="center" vertical="center"/>
      <protection hidden="1"/>
    </xf>
    <xf numFmtId="173" fontId="21" fillId="0" borderId="140" xfId="0" quotePrefix="1" applyNumberFormat="1" applyFont="1" applyBorder="1" applyAlignment="1" applyProtection="1">
      <alignment horizontal="center" vertical="center"/>
      <protection hidden="1"/>
    </xf>
    <xf numFmtId="174" fontId="21" fillId="0" borderId="141" xfId="0" quotePrefix="1" applyNumberFormat="1" applyFont="1" applyBorder="1" applyAlignment="1" applyProtection="1">
      <alignment horizontal="left" vertical="center"/>
      <protection hidden="1"/>
    </xf>
    <xf numFmtId="173" fontId="21" fillId="0" borderId="126" xfId="0" applyNumberFormat="1" applyFont="1" applyBorder="1" applyAlignment="1" applyProtection="1">
      <alignment horizontal="center" vertical="center"/>
      <protection hidden="1"/>
    </xf>
    <xf numFmtId="173" fontId="21" fillId="0" borderId="130" xfId="0" applyNumberFormat="1" applyFont="1" applyBorder="1" applyAlignment="1" applyProtection="1">
      <alignment horizontal="center" vertical="center"/>
      <protection hidden="1"/>
    </xf>
    <xf numFmtId="173" fontId="21" fillId="0" borderId="131" xfId="0" applyNumberFormat="1" applyFont="1" applyBorder="1" applyAlignment="1" applyProtection="1">
      <alignment horizontal="center" vertical="center"/>
      <protection hidden="1"/>
    </xf>
    <xf numFmtId="173" fontId="21" fillId="0" borderId="132" xfId="0" applyNumberFormat="1" applyFont="1" applyBorder="1" applyAlignment="1" applyProtection="1">
      <alignment horizontal="center" vertical="center"/>
      <protection hidden="1"/>
    </xf>
    <xf numFmtId="173" fontId="21" fillId="0" borderId="142" xfId="0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center" vertical="center"/>
      <protection hidden="1"/>
    </xf>
    <xf numFmtId="173" fontId="21" fillId="0" borderId="144" xfId="0" applyNumberFormat="1" applyFont="1" applyBorder="1" applyAlignment="1" applyProtection="1">
      <alignment horizontal="center" vertical="center"/>
      <protection hidden="1"/>
    </xf>
    <xf numFmtId="174" fontId="21" fillId="0" borderId="2" xfId="0" applyNumberFormat="1" applyFont="1" applyBorder="1" applyAlignment="1" applyProtection="1">
      <alignment horizontal="left" vertical="center"/>
      <protection hidden="1"/>
    </xf>
    <xf numFmtId="172" fontId="21" fillId="0" borderId="145" xfId="0" quotePrefix="1" applyNumberFormat="1" applyFont="1" applyBorder="1" applyAlignment="1" applyProtection="1">
      <alignment horizontal="center" vertical="center"/>
      <protection hidden="1"/>
    </xf>
    <xf numFmtId="172" fontId="21" fillId="0" borderId="146" xfId="0" quotePrefix="1" applyNumberFormat="1" applyFont="1" applyBorder="1" applyAlignment="1" applyProtection="1">
      <alignment horizontal="center" vertical="center"/>
      <protection hidden="1"/>
    </xf>
    <xf numFmtId="172" fontId="21" fillId="0" borderId="147" xfId="0" quotePrefix="1" applyNumberFormat="1" applyFont="1" applyBorder="1" applyAlignment="1" applyProtection="1">
      <alignment horizontal="center" vertical="center"/>
      <protection hidden="1"/>
    </xf>
    <xf numFmtId="174" fontId="21" fillId="0" borderId="148" xfId="0" applyNumberFormat="1" applyFont="1" applyBorder="1" applyAlignment="1" applyProtection="1">
      <alignment horizontal="left" vertical="center"/>
      <protection hidden="1"/>
    </xf>
    <xf numFmtId="2" fontId="110" fillId="0" borderId="26" xfId="0" quotePrefix="1" applyNumberFormat="1" applyFont="1" applyBorder="1" applyAlignment="1" applyProtection="1">
      <alignment vertical="center"/>
      <protection hidden="1"/>
    </xf>
    <xf numFmtId="172" fontId="21" fillId="0" borderId="130" xfId="0" quotePrefix="1" applyNumberFormat="1" applyFont="1" applyBorder="1" applyAlignment="1" applyProtection="1">
      <alignment horizontal="center" vertical="center"/>
      <protection hidden="1"/>
    </xf>
    <xf numFmtId="172" fontId="21" fillId="0" borderId="131" xfId="0" quotePrefix="1" applyNumberFormat="1" applyFont="1" applyBorder="1" applyAlignment="1" applyProtection="1">
      <alignment horizontal="center" vertical="center"/>
      <protection hidden="1"/>
    </xf>
    <xf numFmtId="172" fontId="21" fillId="0" borderId="132" xfId="0" quotePrefix="1" applyNumberFormat="1" applyFont="1" applyBorder="1" applyAlignment="1" applyProtection="1">
      <alignment horizontal="center" vertical="center"/>
      <protection hidden="1"/>
    </xf>
    <xf numFmtId="174" fontId="21" fillId="0" borderId="133" xfId="0" applyNumberFormat="1" applyFont="1" applyBorder="1" applyAlignment="1" applyProtection="1">
      <alignment horizontal="left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2" fontId="21" fillId="0" borderId="136" xfId="0" quotePrefix="1" applyNumberFormat="1" applyFont="1" applyBorder="1" applyAlignment="1" applyProtection="1">
      <alignment horizontal="center" vertical="center"/>
      <protection hidden="1"/>
    </xf>
    <xf numFmtId="174" fontId="21" fillId="0" borderId="137" xfId="0" quotePrefix="1" applyNumberFormat="1" applyFont="1" applyBorder="1" applyAlignment="1" applyProtection="1">
      <alignment horizontal="left" vertical="center"/>
      <protection hidden="1"/>
    </xf>
    <xf numFmtId="2" fontId="110" fillId="0" borderId="25" xfId="0" quotePrefix="1" applyNumberFormat="1" applyFont="1" applyBorder="1" applyAlignment="1" applyProtection="1">
      <alignment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3" fontId="21" fillId="0" borderId="131" xfId="12" applyNumberFormat="1" applyFont="1" applyBorder="1" applyAlignment="1" applyProtection="1">
      <alignment horizontal="center" vertical="center"/>
      <protection hidden="1"/>
    </xf>
    <xf numFmtId="173" fontId="21" fillId="0" borderId="132" xfId="12" applyNumberFormat="1" applyFont="1" applyBorder="1" applyAlignment="1" applyProtection="1">
      <alignment horizontal="center" vertical="center"/>
      <protection hidden="1"/>
    </xf>
    <xf numFmtId="0" fontId="21" fillId="0" borderId="133" xfId="12" applyFont="1" applyBorder="1" applyAlignment="1" applyProtection="1">
      <alignment horizontal="left" vertical="center"/>
      <protection hidden="1"/>
    </xf>
    <xf numFmtId="173" fontId="21" fillId="0" borderId="139" xfId="12" applyNumberFormat="1" applyFont="1" applyBorder="1" applyAlignment="1" applyProtection="1">
      <alignment horizontal="center" vertical="center"/>
      <protection hidden="1"/>
    </xf>
    <xf numFmtId="173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140" xfId="0" applyNumberFormat="1" applyFont="1" applyBorder="1" applyAlignment="1" applyProtection="1">
      <alignment horizontal="center" vertical="center"/>
      <protection hidden="1"/>
    </xf>
    <xf numFmtId="0" fontId="21" fillId="0" borderId="133" xfId="12" quotePrefix="1" applyFont="1" applyBorder="1" applyAlignment="1" applyProtection="1">
      <alignment horizontal="left" vertical="center"/>
      <protection hidden="1"/>
    </xf>
    <xf numFmtId="173" fontId="21" fillId="0" borderId="135" xfId="12" applyNumberFormat="1" applyFont="1" applyBorder="1" applyAlignment="1" applyProtection="1">
      <alignment horizontal="center" vertical="center"/>
      <protection hidden="1"/>
    </xf>
    <xf numFmtId="173" fontId="21" fillId="0" borderId="135" xfId="0" applyNumberFormat="1" applyFont="1" applyBorder="1" applyAlignment="1" applyProtection="1">
      <alignment horizontal="center" vertical="center"/>
      <protection hidden="1"/>
    </xf>
    <xf numFmtId="173" fontId="21" fillId="0" borderId="136" xfId="0" applyNumberFormat="1" applyFont="1" applyBorder="1" applyAlignment="1" applyProtection="1">
      <alignment horizontal="center" vertical="center"/>
      <protection hidden="1"/>
    </xf>
    <xf numFmtId="0" fontId="21" fillId="0" borderId="137" xfId="12" quotePrefix="1" applyFont="1" applyBorder="1" applyAlignment="1" applyProtection="1">
      <alignment horizontal="left" vertical="center"/>
      <protection hidden="1"/>
    </xf>
    <xf numFmtId="173" fontId="21" fillId="0" borderId="130" xfId="12" applyNumberFormat="1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10" fillId="0" borderId="26" xfId="0" quotePrefix="1" applyFont="1" applyBorder="1" applyAlignment="1" applyProtection="1">
      <alignment horizontal="center" vertical="center"/>
      <protection hidden="1"/>
    </xf>
    <xf numFmtId="0" fontId="110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173" fontId="21" fillId="0" borderId="138" xfId="12" applyNumberFormat="1" applyFont="1" applyBorder="1" applyAlignment="1" applyProtection="1">
      <alignment horizontal="center" vertical="center"/>
      <protection hidden="1"/>
    </xf>
    <xf numFmtId="0" fontId="110" fillId="0" borderId="26" xfId="0" quotePrefix="1" applyFont="1" applyBorder="1" applyAlignment="1" applyProtection="1">
      <alignment horizontal="left" vertical="center"/>
      <protection hidden="1"/>
    </xf>
    <xf numFmtId="0" fontId="21" fillId="0" borderId="149" xfId="12" quotePrefix="1" applyFont="1" applyBorder="1" applyAlignment="1" applyProtection="1">
      <alignment horizontal="left" vertical="center"/>
      <protection hidden="1"/>
    </xf>
    <xf numFmtId="0" fontId="110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50" xfId="8" applyFont="1" applyFill="1" applyBorder="1"/>
    <xf numFmtId="0" fontId="86" fillId="14" borderId="151" xfId="7" applyFont="1" applyBorder="1" applyAlignment="1" applyProtection="1">
      <alignment horizontal="center"/>
      <protection locked="0"/>
    </xf>
    <xf numFmtId="0" fontId="2" fillId="15" borderId="152" xfId="8" applyFont="1" applyFill="1" applyBorder="1"/>
    <xf numFmtId="0" fontId="86" fillId="14" borderId="153" xfId="7" applyFont="1" applyBorder="1" applyAlignment="1" applyProtection="1">
      <alignment horizontal="center"/>
      <protection locked="0"/>
    </xf>
    <xf numFmtId="0" fontId="2" fillId="15" borderId="154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5" xfId="0" applyNumberFormat="1" applyFont="1" applyBorder="1" applyAlignment="1">
      <alignment horizontal="center" vertical="top"/>
    </xf>
    <xf numFmtId="164" fontId="112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4" fontId="21" fillId="0" borderId="119" xfId="0" applyNumberFormat="1" applyFont="1" applyBorder="1" applyAlignment="1" applyProtection="1">
      <alignment horizontal="left" vertical="center"/>
      <protection hidden="1"/>
    </xf>
    <xf numFmtId="172" fontId="21" fillId="0" borderId="157" xfId="0" quotePrefix="1" applyNumberFormat="1" applyFont="1" applyBorder="1" applyAlignment="1" applyProtection="1">
      <alignment horizontal="center" vertical="center"/>
      <protection hidden="1"/>
    </xf>
    <xf numFmtId="172" fontId="21" fillId="0" borderId="158" xfId="0" quotePrefix="1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center" vertical="center"/>
      <protection hidden="1"/>
    </xf>
    <xf numFmtId="172" fontId="21" fillId="0" borderId="109" xfId="0" quotePrefix="1" applyNumberFormat="1" applyFont="1" applyBorder="1" applyAlignment="1" applyProtection="1">
      <alignment horizontal="center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3" fontId="21" fillId="0" borderId="109" xfId="0" applyNumberFormat="1" applyFont="1" applyBorder="1" applyAlignment="1" applyProtection="1">
      <alignment horizontal="center" vertical="center"/>
      <protection hidden="1"/>
    </xf>
    <xf numFmtId="173" fontId="21" fillId="0" borderId="100" xfId="0" applyNumberFormat="1" applyFont="1" applyBorder="1" applyAlignment="1" applyProtection="1">
      <alignment horizontal="center" vertical="center"/>
      <protection hidden="1"/>
    </xf>
    <xf numFmtId="173" fontId="21" fillId="0" borderId="96" xfId="0" applyNumberFormat="1" applyFont="1" applyBorder="1" applyAlignment="1" applyProtection="1">
      <alignment horizontal="center" vertical="center"/>
      <protection hidden="1"/>
    </xf>
    <xf numFmtId="173" fontId="21" fillId="0" borderId="104" xfId="0" quotePrefix="1" applyNumberFormat="1" applyFont="1" applyBorder="1" applyAlignment="1" applyProtection="1">
      <alignment horizontal="center" vertical="center"/>
      <protection hidden="1"/>
    </xf>
    <xf numFmtId="173" fontId="21" fillId="0" borderId="109" xfId="0" quotePrefix="1" applyNumberFormat="1" applyFont="1" applyBorder="1" applyAlignment="1" applyProtection="1">
      <alignment horizontal="center" vertical="center"/>
      <protection hidden="1"/>
    </xf>
    <xf numFmtId="173" fontId="21" fillId="0" borderId="160" xfId="0" quotePrefix="1" applyNumberFormat="1" applyFont="1" applyBorder="1" applyAlignment="1" applyProtection="1">
      <alignment horizontal="center" vertical="center"/>
      <protection hidden="1"/>
    </xf>
    <xf numFmtId="173" fontId="21" fillId="0" borderId="161" xfId="0" quotePrefix="1" applyNumberFormat="1" applyFont="1" applyBorder="1" applyAlignment="1" applyProtection="1">
      <alignment horizontal="center" vertical="center"/>
      <protection hidden="1"/>
    </xf>
    <xf numFmtId="0" fontId="114" fillId="2" borderId="22" xfId="0" applyFont="1" applyFill="1" applyBorder="1" applyAlignment="1">
      <alignment horizontal="left" vertical="center"/>
    </xf>
    <xf numFmtId="0" fontId="80" fillId="13" borderId="162" xfId="6" applyBorder="1" applyAlignment="1" applyProtection="1">
      <alignment horizontal="center"/>
      <protection hidden="1"/>
    </xf>
    <xf numFmtId="2" fontId="21" fillId="0" borderId="99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63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3" fontId="21" fillId="0" borderId="157" xfId="12" applyNumberFormat="1" applyFont="1" applyBorder="1" applyAlignment="1" applyProtection="1">
      <alignment horizontal="center" vertical="center"/>
      <protection hidden="1"/>
    </xf>
    <xf numFmtId="173" fontId="21" fillId="0" borderId="158" xfId="12" applyNumberFormat="1" applyFont="1" applyBorder="1" applyAlignment="1" applyProtection="1">
      <alignment horizontal="center" vertical="center"/>
      <protection hidden="1"/>
    </xf>
    <xf numFmtId="173" fontId="21" fillId="0" borderId="159" xfId="12" applyNumberFormat="1" applyFont="1" applyBorder="1" applyAlignment="1" applyProtection="1">
      <alignment horizontal="center" vertical="center"/>
      <protection hidden="1"/>
    </xf>
    <xf numFmtId="174" fontId="21" fillId="0" borderId="99" xfId="0" applyNumberFormat="1" applyFont="1" applyBorder="1" applyAlignment="1" applyProtection="1">
      <alignment horizontal="left" vertical="center"/>
      <protection hidden="1"/>
    </xf>
    <xf numFmtId="173" fontId="21" fillId="0" borderId="164" xfId="0" quotePrefix="1" applyNumberFormat="1" applyFont="1" applyBorder="1" applyAlignment="1" applyProtection="1">
      <alignment horizontal="center" vertical="center"/>
      <protection hidden="1"/>
    </xf>
    <xf numFmtId="173" fontId="21" fillId="0" borderId="165" xfId="0" quotePrefix="1" applyNumberFormat="1" applyFont="1" applyBorder="1" applyAlignment="1" applyProtection="1">
      <alignment horizontal="center" vertical="center"/>
      <protection hidden="1"/>
    </xf>
    <xf numFmtId="173" fontId="21" fillId="0" borderId="166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7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20" xfId="12" quotePrefix="1" applyFont="1" applyBorder="1" applyAlignment="1" applyProtection="1">
      <alignment horizontal="left" vertical="center"/>
      <protection hidden="1"/>
    </xf>
    <xf numFmtId="173" fontId="21" fillId="0" borderId="106" xfId="0" applyNumberFormat="1" applyFont="1" applyBorder="1" applyAlignment="1" applyProtection="1">
      <alignment horizontal="center" vertical="center"/>
      <protection hidden="1"/>
    </xf>
    <xf numFmtId="173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05" xfId="12" applyNumberFormat="1" applyFont="1" applyBorder="1" applyAlignment="1" applyProtection="1">
      <alignment horizontal="center" vertical="center"/>
      <protection hidden="1"/>
    </xf>
    <xf numFmtId="173" fontId="21" fillId="0" borderId="104" xfId="12" applyNumberFormat="1" applyFont="1" applyBorder="1" applyAlignment="1" applyProtection="1">
      <alignment horizontal="center" vertical="center"/>
      <protection hidden="1"/>
    </xf>
    <xf numFmtId="0" fontId="21" fillId="0" borderId="123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6" fillId="0" borderId="0" xfId="0" applyFont="1"/>
    <xf numFmtId="0" fontId="117" fillId="0" borderId="0" xfId="0" applyFont="1"/>
    <xf numFmtId="0" fontId="118" fillId="0" borderId="0" xfId="0" applyFont="1" applyAlignment="1">
      <alignment vertical="center"/>
    </xf>
    <xf numFmtId="16" fontId="118" fillId="0" borderId="0" xfId="0" quotePrefix="1" applyNumberFormat="1" applyFont="1" applyAlignment="1">
      <alignment horizontal="center" vertical="center"/>
    </xf>
    <xf numFmtId="164" fontId="120" fillId="0" borderId="169" xfId="0" applyNumberFormat="1" applyFont="1" applyBorder="1" applyAlignment="1">
      <alignment horizontal="center"/>
    </xf>
    <xf numFmtId="176" fontId="116" fillId="0" borderId="0" xfId="3" applyNumberFormat="1" applyFont="1" applyFill="1" applyBorder="1"/>
    <xf numFmtId="164" fontId="119" fillId="0" borderId="171" xfId="0" applyNumberFormat="1" applyFont="1" applyBorder="1" applyAlignment="1">
      <alignment horizontal="center"/>
    </xf>
    <xf numFmtId="164" fontId="119" fillId="0" borderId="172" xfId="0" applyNumberFormat="1" applyFont="1" applyBorder="1" applyAlignment="1">
      <alignment horizontal="center"/>
    </xf>
    <xf numFmtId="164" fontId="119" fillId="0" borderId="175" xfId="0" applyNumberFormat="1" applyFont="1" applyBorder="1" applyAlignment="1">
      <alignment horizontal="center"/>
    </xf>
    <xf numFmtId="164" fontId="119" fillId="0" borderId="176" xfId="0" applyNumberFormat="1" applyFont="1" applyBorder="1" applyAlignment="1">
      <alignment horizontal="center"/>
    </xf>
    <xf numFmtId="0" fontId="117" fillId="0" borderId="0" xfId="0" applyFont="1" applyAlignment="1">
      <alignment vertical="center"/>
    </xf>
    <xf numFmtId="164" fontId="119" fillId="0" borderId="0" xfId="0" applyNumberFormat="1" applyFont="1" applyAlignment="1">
      <alignment horizontal="center"/>
    </xf>
    <xf numFmtId="164" fontId="119" fillId="0" borderId="0" xfId="0" applyNumberFormat="1" applyFont="1" applyAlignment="1">
      <alignment horizontal="right"/>
    </xf>
    <xf numFmtId="0" fontId="117" fillId="0" borderId="168" xfId="0" applyFont="1" applyBorder="1" applyAlignment="1">
      <alignment vertical="center"/>
    </xf>
    <xf numFmtId="176" fontId="119" fillId="0" borderId="0" xfId="3" applyNumberFormat="1" applyFont="1" applyFill="1" applyBorder="1"/>
    <xf numFmtId="0" fontId="117" fillId="0" borderId="43" xfId="0" applyFont="1" applyBorder="1" applyAlignment="1">
      <alignment vertical="center"/>
    </xf>
    <xf numFmtId="164" fontId="116" fillId="0" borderId="169" xfId="0" applyNumberFormat="1" applyFont="1" applyBorder="1"/>
    <xf numFmtId="0" fontId="116" fillId="0" borderId="43" xfId="0" applyFont="1" applyBorder="1"/>
    <xf numFmtId="164" fontId="116" fillId="0" borderId="52" xfId="0" applyNumberFormat="1" applyFont="1" applyBorder="1"/>
    <xf numFmtId="164" fontId="119" fillId="0" borderId="172" xfId="0" applyNumberFormat="1" applyFont="1" applyBorder="1" applyAlignment="1">
      <alignment horizontal="left"/>
    </xf>
    <xf numFmtId="0" fontId="117" fillId="0" borderId="51" xfId="0" applyFont="1" applyBorder="1" applyAlignment="1">
      <alignment vertical="center"/>
    </xf>
    <xf numFmtId="164" fontId="119" fillId="0" borderId="180" xfId="0" applyNumberFormat="1" applyFont="1" applyBorder="1" applyAlignment="1">
      <alignment horizontal="left"/>
    </xf>
    <xf numFmtId="0" fontId="116" fillId="0" borderId="181" xfId="0" quotePrefix="1" applyFont="1" applyBorder="1"/>
    <xf numFmtId="43" fontId="116" fillId="0" borderId="0" xfId="3" applyFont="1" applyFill="1" applyBorder="1"/>
    <xf numFmtId="0" fontId="116" fillId="0" borderId="176" xfId="0" quotePrefix="1" applyFont="1" applyBorder="1"/>
    <xf numFmtId="0" fontId="116" fillId="0" borderId="32" xfId="0" applyFont="1" applyBorder="1" applyAlignment="1">
      <alignment horizontal="left"/>
    </xf>
    <xf numFmtId="0" fontId="116" fillId="0" borderId="33" xfId="0" applyFont="1" applyBorder="1" applyAlignment="1">
      <alignment horizontal="left"/>
    </xf>
    <xf numFmtId="0" fontId="116" fillId="0" borderId="34" xfId="0" applyFont="1" applyBorder="1" applyAlignment="1">
      <alignment horizontal="left"/>
    </xf>
    <xf numFmtId="43" fontId="117" fillId="0" borderId="0" xfId="3" applyFont="1" applyFill="1" applyBorder="1"/>
    <xf numFmtId="164" fontId="116" fillId="0" borderId="0" xfId="0" applyNumberFormat="1" applyFont="1" applyAlignment="1">
      <alignment horizontal="center"/>
    </xf>
    <xf numFmtId="164" fontId="116" fillId="0" borderId="32" xfId="0" applyNumberFormat="1" applyFont="1" applyBorder="1" applyAlignment="1">
      <alignment horizontal="left"/>
    </xf>
    <xf numFmtId="164" fontId="116" fillId="0" borderId="33" xfId="0" applyNumberFormat="1" applyFont="1" applyBorder="1" applyAlignment="1">
      <alignment horizontal="left"/>
    </xf>
    <xf numFmtId="164" fontId="116" fillId="0" borderId="0" xfId="0" applyNumberFormat="1" applyFont="1"/>
    <xf numFmtId="164" fontId="117" fillId="0" borderId="0" xfId="0" applyNumberFormat="1" applyFont="1"/>
    <xf numFmtId="0" fontId="115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6" fillId="0" borderId="181" xfId="0" applyFont="1" applyBorder="1" applyAlignment="1">
      <alignment horizontal="left"/>
    </xf>
    <xf numFmtId="0" fontId="116" fillId="0" borderId="16" xfId="0" applyFont="1" applyBorder="1" applyAlignment="1">
      <alignment horizontal="left"/>
    </xf>
    <xf numFmtId="0" fontId="116" fillId="0" borderId="170" xfId="0" applyFont="1" applyBorder="1" applyAlignment="1">
      <alignment horizontal="left"/>
    </xf>
    <xf numFmtId="0" fontId="121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9" fillId="0" borderId="171" xfId="0" applyNumberFormat="1" applyFont="1" applyBorder="1" applyAlignment="1">
      <alignment horizontal="left"/>
    </xf>
    <xf numFmtId="0" fontId="117" fillId="0" borderId="0" xfId="0" applyFont="1" applyAlignment="1">
      <alignment horizontal="center"/>
    </xf>
    <xf numFmtId="0" fontId="116" fillId="0" borderId="0" xfId="0" applyFont="1" applyAlignment="1">
      <alignment horizontal="center"/>
    </xf>
    <xf numFmtId="164" fontId="119" fillId="0" borderId="71" xfId="0" applyNumberFormat="1" applyFont="1" applyBorder="1" applyAlignment="1">
      <alignment horizontal="center"/>
    </xf>
    <xf numFmtId="164" fontId="119" fillId="0" borderId="57" xfId="0" applyNumberFormat="1" applyFont="1" applyBorder="1" applyAlignment="1">
      <alignment horizontal="center"/>
    </xf>
    <xf numFmtId="164" fontId="119" fillId="0" borderId="24" xfId="0" applyNumberFormat="1" applyFont="1" applyBorder="1" applyAlignment="1">
      <alignment horizontal="center"/>
    </xf>
    <xf numFmtId="164" fontId="119" fillId="0" borderId="170" xfId="0" applyNumberFormat="1" applyFont="1" applyBorder="1" applyAlignment="1">
      <alignment horizontal="center"/>
    </xf>
    <xf numFmtId="164" fontId="119" fillId="0" borderId="173" xfId="0" applyNumberFormat="1" applyFont="1" applyBorder="1" applyAlignment="1">
      <alignment horizontal="center"/>
    </xf>
    <xf numFmtId="164" fontId="119" fillId="0" borderId="182" xfId="0" applyNumberFormat="1" applyFont="1" applyBorder="1" applyAlignment="1">
      <alignment horizontal="center"/>
    </xf>
    <xf numFmtId="164" fontId="119" fillId="0" borderId="177" xfId="0" applyNumberFormat="1" applyFont="1" applyBorder="1" applyAlignment="1">
      <alignment horizontal="center"/>
    </xf>
    <xf numFmtId="164" fontId="119" fillId="0" borderId="178" xfId="0" applyNumberFormat="1" applyFont="1" applyBorder="1" applyAlignment="1">
      <alignment horizontal="center"/>
    </xf>
    <xf numFmtId="164" fontId="119" fillId="0" borderId="179" xfId="0" applyNumberFormat="1" applyFont="1" applyBorder="1" applyAlignment="1">
      <alignment horizontal="center"/>
    </xf>
    <xf numFmtId="164" fontId="119" fillId="0" borderId="174" xfId="0" applyNumberFormat="1" applyFont="1" applyBorder="1" applyAlignment="1">
      <alignment horizontal="center"/>
    </xf>
    <xf numFmtId="0" fontId="117" fillId="0" borderId="32" xfId="0" applyFont="1" applyBorder="1" applyAlignment="1">
      <alignment vertical="center"/>
    </xf>
    <xf numFmtId="0" fontId="116" fillId="0" borderId="33" xfId="0" applyFont="1" applyBorder="1" applyAlignment="1">
      <alignment horizontal="center"/>
    </xf>
    <xf numFmtId="164" fontId="116" fillId="0" borderId="34" xfId="0" applyNumberFormat="1" applyFont="1" applyBorder="1"/>
    <xf numFmtId="0" fontId="20" fillId="2" borderId="183" xfId="0" applyFont="1" applyFill="1" applyBorder="1" applyAlignment="1">
      <alignment horizontal="center" vertical="center"/>
    </xf>
    <xf numFmtId="1" fontId="119" fillId="0" borderId="181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0" fontId="24" fillId="9" borderId="13" xfId="0" applyFont="1" applyFill="1" applyBorder="1" applyAlignment="1">
      <alignment horizontal="left"/>
    </xf>
    <xf numFmtId="0" fontId="24" fillId="9" borderId="13" xfId="0" applyFont="1" applyFill="1" applyBorder="1" applyAlignment="1">
      <alignment horizontal="center"/>
    </xf>
    <xf numFmtId="164" fontId="24" fillId="8" borderId="13" xfId="1" applyNumberFormat="1" applyFont="1" applyFill="1" applyBorder="1" applyAlignment="1">
      <alignment horizontal="center"/>
    </xf>
    <xf numFmtId="164" fontId="24" fillId="8" borderId="3" xfId="1" applyNumberFormat="1" applyFont="1" applyFill="1" applyBorder="1" applyAlignment="1">
      <alignment horizontal="center"/>
    </xf>
    <xf numFmtId="164" fontId="24" fillId="9" borderId="0" xfId="1" applyNumberFormat="1" applyFont="1" applyFill="1" applyBorder="1" applyAlignment="1">
      <alignment horizontal="center"/>
    </xf>
    <xf numFmtId="164" fontId="24" fillId="9" borderId="20" xfId="1" applyNumberFormat="1" applyFont="1" applyFill="1" applyBorder="1" applyAlignment="1">
      <alignment horizontal="center"/>
    </xf>
    <xf numFmtId="164" fontId="24" fillId="8" borderId="0" xfId="1" applyNumberFormat="1" applyFont="1" applyFill="1" applyBorder="1" applyAlignment="1">
      <alignment horizontal="center"/>
    </xf>
    <xf numFmtId="164" fontId="24" fillId="8" borderId="20" xfId="1" applyNumberFormat="1" applyFont="1" applyFill="1" applyBorder="1" applyAlignment="1">
      <alignment horizontal="center"/>
    </xf>
    <xf numFmtId="164" fontId="24" fillId="9" borderId="16" xfId="1" applyNumberFormat="1" applyFont="1" applyFill="1" applyBorder="1" applyAlignment="1">
      <alignment horizontal="center"/>
    </xf>
    <xf numFmtId="164" fontId="24" fillId="9" borderId="17" xfId="1" applyNumberFormat="1" applyFont="1" applyFill="1" applyBorder="1" applyAlignment="1">
      <alignment horizontal="center"/>
    </xf>
    <xf numFmtId="166" fontId="24" fillId="8" borderId="2" xfId="1" applyNumberFormat="1" applyFont="1" applyFill="1" applyBorder="1" applyAlignment="1">
      <alignment horizontal="left"/>
    </xf>
    <xf numFmtId="166" fontId="24" fillId="9" borderId="14" xfId="1" applyNumberFormat="1" applyFont="1" applyFill="1" applyBorder="1" applyAlignment="1">
      <alignment horizontal="left"/>
    </xf>
    <xf numFmtId="166" fontId="24" fillId="8" borderId="14" xfId="1" applyNumberFormat="1" applyFont="1" applyFill="1" applyBorder="1" applyAlignment="1">
      <alignment horizontal="left"/>
    </xf>
    <xf numFmtId="0" fontId="24" fillId="9" borderId="14" xfId="0" applyFont="1" applyFill="1" applyBorder="1"/>
    <xf numFmtId="0" fontId="24" fillId="9" borderId="15" xfId="0" applyFont="1" applyFill="1" applyBorder="1"/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2" xfId="1" applyNumberFormat="1" applyFont="1" applyBorder="1" applyAlignment="1" applyProtection="1">
      <alignment horizontal="center"/>
      <protection hidden="1"/>
    </xf>
    <xf numFmtId="164" fontId="8" fillId="0" borderId="23" xfId="1" applyNumberFormat="1" applyFont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 wrapText="1"/>
    </xf>
    <xf numFmtId="166" fontId="36" fillId="0" borderId="15" xfId="1" applyNumberFormat="1" applyFont="1" applyFill="1" applyBorder="1" applyAlignment="1">
      <alignment horizontal="left" wrapText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22" fillId="12" borderId="32" xfId="0" applyFont="1" applyFill="1" applyBorder="1"/>
    <xf numFmtId="0" fontId="122" fillId="12" borderId="33" xfId="0" applyFont="1" applyFill="1" applyBorder="1"/>
    <xf numFmtId="0" fontId="122" fillId="12" borderId="34" xfId="0" applyFont="1" applyFill="1" applyBorder="1"/>
    <xf numFmtId="0" fontId="123" fillId="12" borderId="32" xfId="0" applyFont="1" applyFill="1" applyBorder="1"/>
    <xf numFmtId="0" fontId="124" fillId="12" borderId="33" xfId="0" applyFont="1" applyFill="1" applyBorder="1"/>
    <xf numFmtId="0" fontId="124" fillId="12" borderId="34" xfId="0" applyFont="1" applyFill="1" applyBorder="1"/>
    <xf numFmtId="173" fontId="21" fillId="0" borderId="184" xfId="12" applyNumberFormat="1" applyFont="1" applyBorder="1" applyAlignment="1" applyProtection="1">
      <alignment horizontal="center" vertical="center"/>
      <protection hidden="1"/>
    </xf>
    <xf numFmtId="173" fontId="21" fillId="0" borderId="185" xfId="12" applyNumberFormat="1" applyFont="1" applyBorder="1" applyAlignment="1" applyProtection="1">
      <alignment horizontal="center" vertical="center"/>
      <protection hidden="1"/>
    </xf>
    <xf numFmtId="173" fontId="21" fillId="0" borderId="186" xfId="12" applyNumberFormat="1" applyFont="1" applyBorder="1" applyAlignment="1" applyProtection="1">
      <alignment horizontal="center" vertical="center"/>
      <protection hidden="1"/>
    </xf>
    <xf numFmtId="173" fontId="21" fillId="0" borderId="164" xfId="12" applyNumberFormat="1" applyFont="1" applyBorder="1" applyAlignment="1" applyProtection="1">
      <alignment horizontal="center" vertical="center"/>
      <protection hidden="1"/>
    </xf>
    <xf numFmtId="173" fontId="21" fillId="0" borderId="165" xfId="12" applyNumberFormat="1" applyFont="1" applyBorder="1" applyAlignment="1" applyProtection="1">
      <alignment horizontal="center" vertical="center"/>
      <protection hidden="1"/>
    </xf>
    <xf numFmtId="173" fontId="21" fillId="0" borderId="166" xfId="12" applyNumberFormat="1" applyFont="1" applyBorder="1" applyAlignment="1" applyProtection="1">
      <alignment horizontal="center" vertical="center"/>
      <protection hidden="1"/>
    </xf>
    <xf numFmtId="0" fontId="110" fillId="0" borderId="25" xfId="0" applyFont="1" applyBorder="1" applyAlignment="1" applyProtection="1">
      <alignment vertical="center"/>
      <protection hidden="1"/>
    </xf>
    <xf numFmtId="0" fontId="110" fillId="0" borderId="26" xfId="0" applyFont="1" applyBorder="1" applyAlignment="1" applyProtection="1">
      <alignment vertical="center"/>
      <protection hidden="1"/>
    </xf>
    <xf numFmtId="0" fontId="110" fillId="0" borderId="27" xfId="0" applyFont="1" applyBorder="1" applyAlignment="1" applyProtection="1">
      <alignment vertical="center"/>
      <protection hidden="1"/>
    </xf>
    <xf numFmtId="0" fontId="125" fillId="9" borderId="14" xfId="0" applyFont="1" applyFill="1" applyBorder="1" applyAlignment="1">
      <alignment horizontal="centerContinuous"/>
    </xf>
    <xf numFmtId="0" fontId="110" fillId="0" borderId="21" xfId="0" applyFont="1" applyBorder="1" applyAlignment="1" applyProtection="1">
      <alignment vertical="center"/>
      <protection hidden="1"/>
    </xf>
    <xf numFmtId="0" fontId="126" fillId="0" borderId="21" xfId="0" applyFont="1" applyBorder="1" applyAlignment="1" applyProtection="1">
      <alignment vertical="center"/>
      <protection hidden="1"/>
    </xf>
    <xf numFmtId="0" fontId="7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3" xfId="0" applyFont="1" applyBorder="1"/>
    <xf numFmtId="0" fontId="4" fillId="0" borderId="3" xfId="0" applyFont="1" applyBorder="1"/>
    <xf numFmtId="0" fontId="4" fillId="0" borderId="14" xfId="0" applyFont="1" applyBorder="1" applyAlignment="1">
      <alignment horizontal="left" vertical="center" indent="3"/>
    </xf>
    <xf numFmtId="0" fontId="4" fillId="0" borderId="14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7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 vertical="center"/>
    </xf>
    <xf numFmtId="164" fontId="8" fillId="0" borderId="23" xfId="1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8" fillId="0" borderId="14" xfId="4" applyNumberFormat="1" applyFont="1" applyBorder="1" applyAlignment="1">
      <alignment vertical="center" wrapText="1"/>
    </xf>
    <xf numFmtId="6" fontId="128" fillId="0" borderId="0" xfId="4" applyNumberFormat="1" applyFont="1" applyBorder="1" applyAlignment="1">
      <alignment vertical="center" wrapText="1"/>
    </xf>
    <xf numFmtId="6" fontId="128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9" xfId="2" applyNumberFormat="1" applyFont="1" applyBorder="1" applyAlignment="1" applyProtection="1">
      <alignment horizontal="center" vertical="center"/>
      <protection hidden="1"/>
    </xf>
    <xf numFmtId="0" fontId="63" fillId="0" borderId="190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0" fontId="22" fillId="0" borderId="49" xfId="0" applyFont="1" applyBorder="1" applyAlignment="1">
      <alignment vertical="center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6" fontId="36" fillId="0" borderId="21" xfId="1" applyNumberFormat="1" applyFont="1" applyFill="1" applyBorder="1" applyAlignment="1">
      <alignment wrapText="1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7" fillId="4" borderId="24" xfId="0" applyFont="1" applyFill="1" applyBorder="1" applyAlignment="1">
      <alignment horizontal="center" wrapText="1"/>
    </xf>
    <xf numFmtId="176" fontId="13" fillId="0" borderId="14" xfId="3" applyNumberFormat="1" applyFont="1" applyFill="1" applyBorder="1" applyAlignment="1" applyProtection="1">
      <alignment horizontal="center"/>
      <protection hidden="1"/>
    </xf>
    <xf numFmtId="176" fontId="13" fillId="12" borderId="26" xfId="3" applyNumberFormat="1" applyFont="1" applyFill="1" applyBorder="1" applyAlignment="1" applyProtection="1">
      <alignment horizontal="center"/>
      <protection hidden="1"/>
    </xf>
    <xf numFmtId="176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1" borderId="25" xfId="1" applyNumberFormat="1" applyFont="1" applyFill="1" applyBorder="1" applyAlignment="1">
      <alignment horizontal="center"/>
    </xf>
    <xf numFmtId="164" fontId="93" fillId="21" borderId="26" xfId="1" applyNumberFormat="1" applyFont="1" applyFill="1" applyBorder="1" applyAlignment="1">
      <alignment horizontal="center"/>
    </xf>
    <xf numFmtId="164" fontId="93" fillId="21" borderId="27" xfId="1" applyNumberFormat="1" applyFont="1" applyFill="1" applyBorder="1" applyAlignment="1">
      <alignment horizontal="center"/>
    </xf>
    <xf numFmtId="2" fontId="108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103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31" fillId="13" borderId="162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93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32" fillId="2" borderId="21" xfId="0" applyFont="1" applyFill="1" applyBorder="1" applyAlignment="1">
      <alignment vertical="center"/>
    </xf>
    <xf numFmtId="164" fontId="80" fillId="13" borderId="194" xfId="6" applyNumberFormat="1" applyBorder="1" applyAlignment="1" applyProtection="1">
      <alignment horizontal="center"/>
      <protection hidden="1"/>
    </xf>
    <xf numFmtId="173" fontId="21" fillId="0" borderId="157" xfId="0" quotePrefix="1" applyNumberFormat="1" applyFont="1" applyBorder="1" applyAlignment="1" applyProtection="1">
      <alignment horizontal="center" vertical="center"/>
      <protection hidden="1"/>
    </xf>
    <xf numFmtId="173" fontId="21" fillId="0" borderId="158" xfId="0" quotePrefix="1" applyNumberFormat="1" applyFont="1" applyBorder="1" applyAlignment="1" applyProtection="1">
      <alignment horizontal="center" vertical="center"/>
      <protection hidden="1"/>
    </xf>
    <xf numFmtId="173" fontId="21" fillId="0" borderId="159" xfId="0" quotePrefix="1" applyNumberFormat="1" applyFont="1" applyBorder="1" applyAlignment="1" applyProtection="1">
      <alignment horizontal="center" vertical="center"/>
      <protection hidden="1"/>
    </xf>
    <xf numFmtId="173" fontId="21" fillId="0" borderId="164" xfId="0" applyNumberFormat="1" applyFont="1" applyBorder="1" applyAlignment="1" applyProtection="1">
      <alignment horizontal="center" vertical="center"/>
      <protection hidden="1"/>
    </xf>
    <xf numFmtId="173" fontId="21" fillId="0" borderId="165" xfId="0" applyNumberFormat="1" applyFont="1" applyBorder="1" applyAlignment="1" applyProtection="1">
      <alignment horizontal="center" vertical="center"/>
      <protection hidden="1"/>
    </xf>
    <xf numFmtId="0" fontId="110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9" fillId="0" borderId="176" xfId="0" applyNumberFormat="1" applyFont="1" applyBorder="1" applyAlignment="1">
      <alignment horizontal="left"/>
    </xf>
    <xf numFmtId="0" fontId="117" fillId="0" borderId="71" xfId="0" applyFont="1" applyBorder="1" applyAlignment="1">
      <alignment horizontal="center" vertical="center"/>
    </xf>
    <xf numFmtId="164" fontId="119" fillId="0" borderId="39" xfId="0" applyNumberFormat="1" applyFont="1" applyBorder="1" applyAlignment="1">
      <alignment horizontal="center"/>
    </xf>
    <xf numFmtId="164" fontId="119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9" fillId="0" borderId="181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9" fillId="0" borderId="0" xfId="0" applyNumberFormat="1" applyFont="1" applyAlignment="1">
      <alignment horizontal="left"/>
    </xf>
    <xf numFmtId="0" fontId="13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6" fillId="0" borderId="0" xfId="0" applyNumberFormat="1" applyFont="1"/>
    <xf numFmtId="164" fontId="119" fillId="0" borderId="175" xfId="0" applyNumberFormat="1" applyFont="1" applyBorder="1" applyAlignment="1">
      <alignment horizontal="left"/>
    </xf>
    <xf numFmtId="164" fontId="119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9" fillId="0" borderId="49" xfId="0" applyNumberFormat="1" applyFont="1" applyBorder="1" applyAlignment="1">
      <alignment horizontal="left"/>
    </xf>
    <xf numFmtId="164" fontId="119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9" fillId="0" borderId="171" xfId="3" applyNumberFormat="1" applyFont="1" applyBorder="1" applyAlignment="1">
      <alignment horizontal="left"/>
    </xf>
    <xf numFmtId="164" fontId="89" fillId="0" borderId="0" xfId="0" applyNumberFormat="1" applyFont="1" applyAlignment="1">
      <alignment vertical="center"/>
    </xf>
    <xf numFmtId="0" fontId="124" fillId="9" borderId="180" xfId="0" applyFont="1" applyFill="1" applyBorder="1" applyAlignment="1">
      <alignment horizontal="center" vertical="center"/>
    </xf>
    <xf numFmtId="176" fontId="0" fillId="0" borderId="0" xfId="3" applyNumberFormat="1" applyFont="1"/>
    <xf numFmtId="164" fontId="120" fillId="0" borderId="180" xfId="0" applyNumberFormat="1" applyFont="1" applyBorder="1" applyAlignment="1">
      <alignment horizontal="center"/>
    </xf>
    <xf numFmtId="164" fontId="119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30" fillId="9" borderId="56" xfId="0" applyFont="1" applyFill="1" applyBorder="1" applyAlignment="1">
      <alignment horizontal="center" vertical="center"/>
    </xf>
    <xf numFmtId="0" fontId="130" fillId="9" borderId="200" xfId="0" applyFont="1" applyFill="1" applyBorder="1" applyAlignment="1">
      <alignment horizontal="center" vertical="center"/>
    </xf>
    <xf numFmtId="0" fontId="130" fillId="9" borderId="199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4" fillId="0" borderId="78" xfId="8" applyNumberFormat="1" applyFont="1" applyFill="1" applyBorder="1" applyAlignment="1" applyProtection="1">
      <alignment horizontal="center"/>
      <protection hidden="1"/>
    </xf>
    <xf numFmtId="0" fontId="86" fillId="14" borderId="201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30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30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4" fillId="2" borderId="183" xfId="0" applyFont="1" applyFill="1" applyBorder="1" applyAlignment="1">
      <alignment horizontal="center" vertical="center"/>
    </xf>
    <xf numFmtId="0" fontId="134" fillId="2" borderId="196" xfId="0" applyFont="1" applyFill="1" applyBorder="1" applyAlignment="1">
      <alignment horizontal="center" vertical="center"/>
    </xf>
    <xf numFmtId="164" fontId="0" fillId="0" borderId="169" xfId="0" applyNumberFormat="1" applyBorder="1" applyAlignment="1">
      <alignment horizontal="center"/>
    </xf>
    <xf numFmtId="176" fontId="8" fillId="0" borderId="0" xfId="3" applyNumberFormat="1" applyFont="1" applyFill="1" applyBorder="1"/>
    <xf numFmtId="164" fontId="13" fillId="0" borderId="171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63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7" xfId="0" applyNumberFormat="1" applyFont="1" applyBorder="1" applyAlignment="1">
      <alignment horizontal="center"/>
    </xf>
    <xf numFmtId="164" fontId="13" fillId="0" borderId="178" xfId="0" applyNumberFormat="1" applyFont="1" applyBorder="1" applyAlignment="1">
      <alignment horizontal="center"/>
    </xf>
    <xf numFmtId="164" fontId="13" fillId="0" borderId="179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6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200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6" fillId="0" borderId="0" xfId="0" applyFont="1" applyAlignment="1">
      <alignment vertical="center"/>
    </xf>
    <xf numFmtId="0" fontId="138" fillId="0" borderId="0" xfId="14" applyFont="1" applyAlignment="1">
      <alignment vertical="center"/>
    </xf>
    <xf numFmtId="0" fontId="139" fillId="0" borderId="0" xfId="14" applyFont="1" applyAlignment="1">
      <alignment vertical="center"/>
    </xf>
    <xf numFmtId="0" fontId="138" fillId="0" borderId="47" xfId="14" applyFont="1" applyBorder="1" applyAlignment="1">
      <alignment vertical="center"/>
    </xf>
    <xf numFmtId="0" fontId="139" fillId="0" borderId="45" xfId="14" applyFont="1" applyBorder="1" applyAlignment="1">
      <alignment vertical="center"/>
    </xf>
    <xf numFmtId="0" fontId="138" fillId="0" borderId="44" xfId="14" applyFont="1" applyBorder="1" applyAlignment="1">
      <alignment vertical="center"/>
    </xf>
    <xf numFmtId="0" fontId="136" fillId="0" borderId="0" xfId="0" applyFont="1" applyAlignment="1">
      <alignment horizontal="center" vertical="center" wrapText="1"/>
    </xf>
    <xf numFmtId="0" fontId="139" fillId="0" borderId="42" xfId="14" applyFont="1" applyBorder="1" applyAlignment="1">
      <alignment vertical="center"/>
    </xf>
    <xf numFmtId="0" fontId="138" fillId="0" borderId="50" xfId="14" applyFont="1" applyBorder="1" applyAlignment="1">
      <alignment vertical="center"/>
    </xf>
    <xf numFmtId="0" fontId="136" fillId="0" borderId="49" xfId="0" applyFont="1" applyBorder="1" applyAlignment="1">
      <alignment horizontal="center" vertical="center" wrapText="1"/>
    </xf>
    <xf numFmtId="0" fontId="139" fillId="0" borderId="48" xfId="14" applyFont="1" applyBorder="1" applyAlignment="1">
      <alignment vertical="center"/>
    </xf>
    <xf numFmtId="0" fontId="140" fillId="0" borderId="47" xfId="14" applyFont="1" applyBorder="1" applyAlignment="1">
      <alignment horizontal="center" vertical="center"/>
    </xf>
    <xf numFmtId="0" fontId="141" fillId="0" borderId="46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2" fillId="0" borderId="44" xfId="0" applyFont="1" applyBorder="1" applyAlignment="1">
      <alignment vertical="center"/>
    </xf>
    <xf numFmtId="0" fontId="142" fillId="0" borderId="47" xfId="0" applyFont="1" applyBorder="1" applyAlignment="1">
      <alignment vertical="center"/>
    </xf>
    <xf numFmtId="0" fontId="139" fillId="0" borderId="46" xfId="14" applyFont="1" applyBorder="1" applyAlignment="1">
      <alignment vertical="center"/>
    </xf>
    <xf numFmtId="0" fontId="140" fillId="0" borderId="44" xfId="14" applyFont="1" applyBorder="1" applyAlignment="1">
      <alignment horizontal="center" vertical="center"/>
    </xf>
    <xf numFmtId="0" fontId="141" fillId="0" borderId="47" xfId="14" applyFont="1" applyBorder="1" applyAlignment="1">
      <alignment horizontal="center" vertical="center"/>
    </xf>
    <xf numFmtId="0" fontId="141" fillId="0" borderId="46" xfId="14" applyFont="1" applyBorder="1" applyAlignment="1">
      <alignment horizontal="left" vertical="center"/>
    </xf>
    <xf numFmtId="0" fontId="141" fillId="0" borderId="45" xfId="14" applyFont="1" applyBorder="1" applyAlignment="1">
      <alignment horizontal="left" vertical="center"/>
    </xf>
    <xf numFmtId="0" fontId="140" fillId="0" borderId="42" xfId="14" applyFont="1" applyBorder="1" applyAlignment="1">
      <alignment horizontal="center" vertical="center"/>
    </xf>
    <xf numFmtId="6" fontId="145" fillId="0" borderId="44" xfId="14" applyNumberFormat="1" applyFont="1" applyBorder="1"/>
    <xf numFmtId="6" fontId="145" fillId="0" borderId="0" xfId="14" applyNumberFormat="1" applyFont="1"/>
    <xf numFmtId="0" fontId="141" fillId="0" borderId="0" xfId="14" applyFont="1" applyAlignment="1">
      <alignment horizontal="center" vertical="center"/>
    </xf>
    <xf numFmtId="0" fontId="145" fillId="0" borderId="0" xfId="14" applyFont="1" applyAlignment="1">
      <alignment horizontal="left" indent="5"/>
    </xf>
    <xf numFmtId="164" fontId="141" fillId="0" borderId="0" xfId="14" applyNumberFormat="1" applyFont="1" applyAlignment="1">
      <alignment horizontal="center" vertical="center"/>
    </xf>
    <xf numFmtId="0" fontId="146" fillId="0" borderId="0" xfId="14" applyFont="1" applyAlignment="1">
      <alignment horizontal="left" vertical="center" indent="2"/>
    </xf>
    <xf numFmtId="0" fontId="146" fillId="0" borderId="42" xfId="14" applyFont="1" applyBorder="1" applyAlignment="1">
      <alignment horizontal="left" vertical="center" indent="2"/>
    </xf>
    <xf numFmtId="177" fontId="141" fillId="0" borderId="0" xfId="14" applyNumberFormat="1" applyFont="1" applyAlignment="1">
      <alignment horizontal="center" vertical="center"/>
    </xf>
    <xf numFmtId="0" fontId="145" fillId="0" borderId="0" xfId="14" applyFont="1" applyAlignment="1">
      <alignment vertical="center"/>
    </xf>
    <xf numFmtId="0" fontId="141" fillId="0" borderId="42" xfId="14" applyFont="1" applyBorder="1" applyAlignment="1">
      <alignment horizontal="center"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44" fillId="0" borderId="0" xfId="14" applyFont="1" applyAlignment="1">
      <alignment vertical="center"/>
    </xf>
    <xf numFmtId="0" fontId="148" fillId="0" borderId="0" xfId="4" applyFont="1" applyBorder="1" applyAlignment="1"/>
    <xf numFmtId="0" fontId="145" fillId="0" borderId="42" xfId="14" applyFont="1" applyBorder="1" applyAlignment="1">
      <alignment vertical="center"/>
    </xf>
    <xf numFmtId="0" fontId="136" fillId="0" borderId="44" xfId="0" applyFont="1" applyBorder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8" fillId="0" borderId="0" xfId="4" applyFont="1" applyBorder="1"/>
    <xf numFmtId="0" fontId="141" fillId="0" borderId="0" xfId="14" applyFont="1" applyAlignment="1">
      <alignment horizontal="left" vertical="center" indent="1"/>
    </xf>
    <xf numFmtId="0" fontId="141" fillId="0" borderId="42" xfId="14" applyFont="1" applyBorder="1" applyAlignment="1">
      <alignment horizontal="left" vertical="center" indent="1"/>
    </xf>
    <xf numFmtId="0" fontId="144" fillId="0" borderId="42" xfId="14" applyFont="1" applyBorder="1" applyAlignment="1">
      <alignment vertical="center"/>
    </xf>
    <xf numFmtId="0" fontId="138" fillId="0" borderId="42" xfId="14" applyFont="1" applyBorder="1" applyAlignment="1">
      <alignment vertical="center"/>
    </xf>
    <xf numFmtId="0" fontId="138" fillId="0" borderId="49" xfId="14" applyFont="1" applyBorder="1" applyAlignment="1">
      <alignment vertical="center"/>
    </xf>
    <xf numFmtId="0" fontId="138" fillId="0" borderId="48" xfId="14" applyFont="1" applyBorder="1" applyAlignment="1">
      <alignment vertical="center"/>
    </xf>
    <xf numFmtId="6" fontId="145" fillId="0" borderId="44" xfId="14" applyNumberFormat="1" applyFont="1" applyBorder="1" applyAlignment="1">
      <alignment vertical="center"/>
    </xf>
    <xf numFmtId="6" fontId="145" fillId="0" borderId="0" xfId="14" applyNumberFormat="1" applyFont="1" applyAlignment="1">
      <alignment vertical="center"/>
    </xf>
    <xf numFmtId="0" fontId="145" fillId="0" borderId="0" xfId="14" applyFont="1" applyAlignment="1">
      <alignment horizontal="center"/>
    </xf>
    <xf numFmtId="0" fontId="145" fillId="0" borderId="0" xfId="14" applyFont="1" applyAlignment="1">
      <alignment horizontal="center" vertical="top"/>
    </xf>
    <xf numFmtId="6" fontId="149" fillId="0" borderId="44" xfId="14" applyNumberFormat="1" applyFont="1" applyBorder="1" applyAlignment="1">
      <alignment vertical="center"/>
    </xf>
    <xf numFmtId="6" fontId="149" fillId="0" borderId="0" xfId="14" applyNumberFormat="1" applyFont="1" applyAlignment="1">
      <alignment vertical="center"/>
    </xf>
    <xf numFmtId="0" fontId="143" fillId="0" borderId="0" xfId="14" applyFont="1" applyAlignment="1">
      <alignment horizontal="center" vertical="center"/>
    </xf>
    <xf numFmtId="0" fontId="143" fillId="0" borderId="0" xfId="14" applyFont="1" applyAlignment="1">
      <alignment horizontal="center" vertical="top"/>
    </xf>
    <xf numFmtId="0" fontId="143" fillId="0" borderId="0" xfId="14" applyFont="1" applyAlignment="1">
      <alignment vertical="center"/>
    </xf>
    <xf numFmtId="0" fontId="143" fillId="0" borderId="42" xfId="14" applyFont="1" applyBorder="1" applyAlignment="1">
      <alignment vertical="center"/>
    </xf>
    <xf numFmtId="6" fontId="143" fillId="0" borderId="44" xfId="14" applyNumberFormat="1" applyFont="1" applyBorder="1" applyAlignment="1">
      <alignment vertical="center"/>
    </xf>
    <xf numFmtId="6" fontId="143" fillId="0" borderId="0" xfId="14" applyNumberFormat="1" applyFont="1" applyAlignment="1">
      <alignment vertical="center"/>
    </xf>
    <xf numFmtId="0" fontId="143" fillId="0" borderId="42" xfId="14" applyFont="1" applyBorder="1" applyAlignment="1">
      <alignment horizontal="center" vertical="center"/>
    </xf>
    <xf numFmtId="0" fontId="150" fillId="0" borderId="44" xfId="14" applyFont="1" applyBorder="1" applyAlignment="1">
      <alignment vertical="center"/>
    </xf>
    <xf numFmtId="0" fontId="150" fillId="0" borderId="0" xfId="14" applyFont="1" applyAlignment="1">
      <alignment vertical="center"/>
    </xf>
    <xf numFmtId="0" fontId="150" fillId="0" borderId="42" xfId="14" applyFont="1" applyBorder="1" applyAlignment="1">
      <alignment vertical="center"/>
    </xf>
    <xf numFmtId="0" fontId="141" fillId="0" borderId="44" xfId="14" applyFont="1" applyBorder="1" applyAlignment="1">
      <alignment horizontal="center" vertical="center"/>
    </xf>
    <xf numFmtId="0" fontId="141" fillId="0" borderId="49" xfId="14" applyFont="1" applyBorder="1" applyAlignment="1">
      <alignment horizontal="center" vertical="center"/>
    </xf>
    <xf numFmtId="0" fontId="151" fillId="0" borderId="0" xfId="14" applyFont="1" applyAlignment="1">
      <alignment vertical="center"/>
    </xf>
    <xf numFmtId="0" fontId="152" fillId="0" borderId="0" xfId="0" applyFont="1" applyAlignment="1">
      <alignment horizontal="center" vertical="center"/>
    </xf>
    <xf numFmtId="0" fontId="150" fillId="0" borderId="50" xfId="14" applyFont="1" applyBorder="1" applyAlignment="1">
      <alignment vertical="center"/>
    </xf>
    <xf numFmtId="0" fontId="150" fillId="0" borderId="49" xfId="14" applyFont="1" applyBorder="1" applyAlignment="1">
      <alignment vertical="center"/>
    </xf>
    <xf numFmtId="0" fontId="150" fillId="0" borderId="48" xfId="14" applyFont="1" applyBorder="1" applyAlignment="1">
      <alignment vertical="center"/>
    </xf>
    <xf numFmtId="0" fontId="145" fillId="0" borderId="50" xfId="14" applyFont="1" applyBorder="1" applyAlignment="1">
      <alignment vertical="center" wrapText="1"/>
    </xf>
    <xf numFmtId="0" fontId="145" fillId="0" borderId="49" xfId="14" applyFont="1" applyBorder="1" applyAlignment="1">
      <alignment vertical="center" wrapText="1"/>
    </xf>
    <xf numFmtId="0" fontId="145" fillId="0" borderId="48" xfId="14" applyFont="1" applyBorder="1" applyAlignment="1">
      <alignment vertical="center" wrapText="1"/>
    </xf>
    <xf numFmtId="14" fontId="153" fillId="0" borderId="44" xfId="14" applyNumberFormat="1" applyFont="1" applyBorder="1" applyAlignment="1">
      <alignment vertical="center"/>
    </xf>
    <xf numFmtId="14" fontId="153" fillId="0" borderId="0" xfId="14" applyNumberFormat="1" applyFont="1" applyAlignment="1">
      <alignment vertical="center"/>
    </xf>
    <xf numFmtId="14" fontId="153" fillId="0" borderId="42" xfId="14" applyNumberFormat="1" applyFont="1" applyBorder="1" applyAlignment="1">
      <alignment vertical="center"/>
    </xf>
    <xf numFmtId="0" fontId="145" fillId="0" borderId="44" xfId="14" applyFont="1" applyBorder="1" applyAlignment="1">
      <alignment horizontal="center" vertical="center"/>
    </xf>
    <xf numFmtId="0" fontId="145" fillId="0" borderId="0" xfId="14" applyFont="1" applyAlignment="1">
      <alignment horizontal="center" vertical="center"/>
    </xf>
    <xf numFmtId="0" fontId="145" fillId="0" borderId="42" xfId="14" applyFont="1" applyBorder="1" applyAlignment="1">
      <alignment horizontal="center" vertical="center"/>
    </xf>
    <xf numFmtId="164" fontId="154" fillId="0" borderId="0" xfId="14" applyNumberFormat="1" applyFont="1" applyAlignment="1">
      <alignment horizontal="center" vertical="center"/>
    </xf>
    <xf numFmtId="0" fontId="151" fillId="0" borderId="0" xfId="14" applyFont="1" applyAlignment="1">
      <alignment horizontal="center" vertical="center"/>
    </xf>
    <xf numFmtId="0" fontId="138" fillId="0" borderId="0" xfId="14" applyFont="1" applyAlignment="1">
      <alignment horizontal="center" vertical="center"/>
    </xf>
    <xf numFmtId="0" fontId="138" fillId="0" borderId="46" xfId="14" applyFont="1" applyBorder="1" applyAlignment="1">
      <alignment vertical="center"/>
    </xf>
    <xf numFmtId="0" fontId="138" fillId="0" borderId="45" xfId="14" applyFont="1" applyBorder="1" applyAlignment="1">
      <alignment vertical="center"/>
    </xf>
    <xf numFmtId="0" fontId="145" fillId="0" borderId="50" xfId="14" applyFont="1" applyBorder="1" applyAlignment="1">
      <alignment horizontal="center" vertical="top"/>
    </xf>
    <xf numFmtId="0" fontId="145" fillId="0" borderId="49" xfId="14" applyFont="1" applyBorder="1" applyAlignment="1">
      <alignment horizontal="center" vertical="top"/>
    </xf>
    <xf numFmtId="0" fontId="145" fillId="0" borderId="48" xfId="14" applyFont="1" applyBorder="1" applyAlignment="1">
      <alignment horizontal="center" vertical="top"/>
    </xf>
    <xf numFmtId="0" fontId="161" fillId="0" borderId="47" xfId="0" applyFont="1" applyBorder="1" applyAlignment="1">
      <alignment vertical="center"/>
    </xf>
    <xf numFmtId="0" fontId="161" fillId="0" borderId="46" xfId="0" applyFont="1" applyBorder="1" applyAlignment="1">
      <alignment vertical="center"/>
    </xf>
    <xf numFmtId="0" fontId="162" fillId="0" borderId="45" xfId="14" applyFont="1" applyBorder="1" applyAlignment="1">
      <alignment vertical="center"/>
    </xf>
    <xf numFmtId="0" fontId="161" fillId="0" borderId="44" xfId="0" applyFont="1" applyBorder="1" applyAlignment="1">
      <alignment vertical="center"/>
    </xf>
    <xf numFmtId="0" fontId="161" fillId="0" borderId="0" xfId="0" applyFont="1" applyAlignment="1">
      <alignment vertical="center"/>
    </xf>
    <xf numFmtId="0" fontId="162" fillId="0" borderId="42" xfId="14" applyFont="1" applyBorder="1" applyAlignment="1">
      <alignment vertical="center"/>
    </xf>
    <xf numFmtId="0" fontId="163" fillId="0" borderId="44" xfId="14" applyFont="1" applyBorder="1"/>
    <xf numFmtId="0" fontId="163" fillId="0" borderId="0" xfId="14" applyFont="1"/>
    <xf numFmtId="0" fontId="163" fillId="0" borderId="42" xfId="14" applyFont="1" applyBorder="1"/>
    <xf numFmtId="0" fontId="143" fillId="0" borderId="42" xfId="14" applyFont="1" applyBorder="1"/>
    <xf numFmtId="0" fontId="145" fillId="0" borderId="0" xfId="14" applyFont="1"/>
    <xf numFmtId="0" fontId="141" fillId="0" borderId="0" xfId="14" applyFont="1" applyAlignment="1">
      <alignment vertical="center"/>
    </xf>
    <xf numFmtId="0" fontId="141" fillId="0" borderId="17" xfId="14" applyFont="1" applyBorder="1" applyAlignment="1">
      <alignment vertical="center"/>
    </xf>
    <xf numFmtId="0" fontId="141" fillId="0" borderId="16" xfId="14" applyFont="1" applyBorder="1" applyAlignment="1">
      <alignment vertical="center"/>
    </xf>
    <xf numFmtId="0" fontId="141" fillId="0" borderId="15" xfId="14" applyFont="1" applyBorder="1" applyAlignment="1">
      <alignment vertical="center"/>
    </xf>
    <xf numFmtId="0" fontId="141" fillId="0" borderId="20" xfId="14" applyFont="1" applyBorder="1" applyAlignment="1">
      <alignment vertical="center"/>
    </xf>
    <xf numFmtId="0" fontId="141" fillId="0" borderId="14" xfId="14" applyFont="1" applyBorder="1" applyAlignment="1">
      <alignment vertical="center"/>
    </xf>
    <xf numFmtId="178" fontId="164" fillId="0" borderId="20" xfId="14" applyNumberFormat="1" applyFont="1" applyBorder="1" applyAlignment="1">
      <alignment horizontal="center" vertical="center"/>
    </xf>
    <xf numFmtId="169" fontId="141" fillId="0" borderId="0" xfId="14" applyNumberFormat="1" applyFont="1" applyAlignment="1">
      <alignment horizontal="center" vertical="center"/>
    </xf>
    <xf numFmtId="179" fontId="151" fillId="0" borderId="0" xfId="14" applyNumberFormat="1" applyFont="1" applyAlignment="1">
      <alignment horizontal="center" vertical="center"/>
    </xf>
    <xf numFmtId="169" fontId="151" fillId="0" borderId="0" xfId="14" applyNumberFormat="1" applyFont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178" fontId="141" fillId="0" borderId="20" xfId="14" applyNumberFormat="1" applyFont="1" applyBorder="1" applyAlignment="1">
      <alignment vertical="center"/>
    </xf>
    <xf numFmtId="169" fontId="141" fillId="0" borderId="0" xfId="14" applyNumberFormat="1" applyFont="1" applyAlignment="1">
      <alignment vertical="center"/>
    </xf>
    <xf numFmtId="179" fontId="141" fillId="0" borderId="0" xfId="14" applyNumberFormat="1" applyFont="1" applyAlignment="1">
      <alignment vertical="center"/>
    </xf>
    <xf numFmtId="166" fontId="141" fillId="0" borderId="0" xfId="14" applyNumberFormat="1" applyFont="1" applyAlignment="1">
      <alignment horizontal="center" vertical="center"/>
    </xf>
    <xf numFmtId="0" fontId="141" fillId="0" borderId="3" xfId="14" applyFont="1" applyBorder="1" applyAlignment="1">
      <alignment vertical="center"/>
    </xf>
    <xf numFmtId="0" fontId="141" fillId="0" borderId="13" xfId="14" applyFont="1" applyBorder="1" applyAlignment="1">
      <alignment vertical="center"/>
    </xf>
    <xf numFmtId="0" fontId="141" fillId="0" borderId="2" xfId="14" applyFont="1" applyBorder="1" applyAlignment="1">
      <alignment vertical="center" wrapText="1"/>
    </xf>
    <xf numFmtId="0" fontId="140" fillId="0" borderId="0" xfId="14" applyFont="1" applyAlignment="1">
      <alignment horizontal="center" vertical="center"/>
    </xf>
    <xf numFmtId="0" fontId="165" fillId="15" borderId="44" xfId="14" applyFont="1" applyFill="1" applyBorder="1" applyAlignment="1">
      <alignment horizontal="center" vertical="center"/>
    </xf>
    <xf numFmtId="0" fontId="140" fillId="15" borderId="0" xfId="14" applyFont="1" applyFill="1" applyAlignment="1">
      <alignment horizontal="center" vertical="center"/>
    </xf>
    <xf numFmtId="0" fontId="165" fillId="15" borderId="0" xfId="14" applyFont="1" applyFill="1" applyAlignment="1">
      <alignment horizontal="center" vertical="center"/>
    </xf>
    <xf numFmtId="0" fontId="140" fillId="15" borderId="42" xfId="14" applyFont="1" applyFill="1" applyBorder="1" applyAlignment="1">
      <alignment horizontal="center" vertical="center"/>
    </xf>
    <xf numFmtId="0" fontId="165" fillId="15" borderId="44" xfId="14" applyFont="1" applyFill="1" applyBorder="1" applyAlignment="1">
      <alignment vertical="center"/>
    </xf>
    <xf numFmtId="0" fontId="140" fillId="15" borderId="0" xfId="14" applyFont="1" applyFill="1" applyAlignment="1">
      <alignment horizontal="right" vertical="center"/>
    </xf>
    <xf numFmtId="0" fontId="165" fillId="15" borderId="0" xfId="14" applyFont="1" applyFill="1" applyAlignment="1">
      <alignment vertical="center"/>
    </xf>
    <xf numFmtId="0" fontId="165" fillId="15" borderId="0" xfId="0" applyFont="1" applyFill="1" applyAlignment="1">
      <alignment vertical="center"/>
    </xf>
    <xf numFmtId="0" fontId="140" fillId="15" borderId="42" xfId="0" applyFont="1" applyFill="1" applyBorder="1" applyAlignment="1">
      <alignment vertical="center"/>
    </xf>
    <xf numFmtId="0" fontId="140" fillId="15" borderId="0" xfId="14" applyFont="1" applyFill="1" applyAlignment="1">
      <alignment vertical="center"/>
    </xf>
    <xf numFmtId="0" fontId="140" fillId="15" borderId="0" xfId="0" applyFont="1" applyFill="1" applyAlignment="1">
      <alignment vertical="center"/>
    </xf>
    <xf numFmtId="164" fontId="165" fillId="15" borderId="0" xfId="14" applyNumberFormat="1" applyFont="1" applyFill="1" applyAlignment="1">
      <alignment horizontal="right" vertical="center"/>
    </xf>
    <xf numFmtId="0" fontId="140" fillId="15" borderId="0" xfId="14" applyFont="1" applyFill="1" applyAlignment="1">
      <alignment horizontal="left" vertical="center"/>
    </xf>
    <xf numFmtId="0" fontId="140" fillId="15" borderId="44" xfId="14" applyFont="1" applyFill="1" applyBorder="1" applyAlignment="1">
      <alignment horizontal="left" vertical="center" wrapText="1"/>
    </xf>
    <xf numFmtId="0" fontId="167" fillId="15" borderId="0" xfId="15" applyFont="1" applyFill="1" applyBorder="1" applyAlignment="1" applyProtection="1">
      <alignment horizontal="left" vertical="center"/>
    </xf>
    <xf numFmtId="0" fontId="168" fillId="15" borderId="42" xfId="15" applyFont="1" applyFill="1" applyBorder="1" applyAlignment="1" applyProtection="1">
      <alignment horizontal="left" vertical="center"/>
    </xf>
    <xf numFmtId="0" fontId="140" fillId="15" borderId="44" xfId="14" applyFont="1" applyFill="1" applyBorder="1" applyAlignment="1">
      <alignment vertical="center"/>
    </xf>
    <xf numFmtId="180" fontId="140" fillId="15" borderId="0" xfId="14" applyNumberFormat="1" applyFont="1" applyFill="1" applyAlignment="1">
      <alignment horizontal="left" vertical="center"/>
    </xf>
    <xf numFmtId="0" fontId="167" fillId="15" borderId="0" xfId="4" applyFont="1" applyFill="1" applyBorder="1" applyAlignment="1" applyProtection="1">
      <alignment vertical="center"/>
    </xf>
    <xf numFmtId="0" fontId="167" fillId="15" borderId="0" xfId="4" applyFont="1" applyFill="1" applyBorder="1" applyAlignment="1">
      <alignment vertical="center"/>
    </xf>
    <xf numFmtId="181" fontId="140" fillId="15" borderId="0" xfId="16" applyNumberFormat="1" applyFont="1" applyFill="1" applyAlignment="1">
      <alignment horizontal="right" vertical="center"/>
    </xf>
    <xf numFmtId="0" fontId="168" fillId="15" borderId="0" xfId="15" applyFont="1" applyFill="1" applyBorder="1" applyAlignment="1" applyProtection="1">
      <alignment horizontal="left" vertical="center"/>
    </xf>
    <xf numFmtId="0" fontId="168" fillId="15" borderId="0" xfId="14" applyFont="1" applyFill="1" applyAlignment="1">
      <alignment vertical="center"/>
    </xf>
    <xf numFmtId="182" fontId="140" fillId="15" borderId="44" xfId="14" applyNumberFormat="1" applyFont="1" applyFill="1" applyBorder="1" applyAlignment="1">
      <alignment vertical="center"/>
    </xf>
    <xf numFmtId="0" fontId="165" fillId="15" borderId="50" xfId="14" applyFont="1" applyFill="1" applyBorder="1" applyAlignment="1">
      <alignment vertical="center"/>
    </xf>
    <xf numFmtId="0" fontId="165" fillId="15" borderId="49" xfId="14" applyFont="1" applyFill="1" applyBorder="1" applyAlignment="1">
      <alignment vertical="center"/>
    </xf>
    <xf numFmtId="0" fontId="140" fillId="15" borderId="48" xfId="14" applyFont="1" applyFill="1" applyBorder="1" applyAlignment="1">
      <alignment vertical="center"/>
    </xf>
    <xf numFmtId="0" fontId="139" fillId="0" borderId="44" xfId="0" applyFont="1" applyBorder="1" applyAlignment="1">
      <alignment vertical="center"/>
    </xf>
    <xf numFmtId="0" fontId="139" fillId="0" borderId="0" xfId="14" applyFont="1" applyAlignment="1">
      <alignment horizontal="center" vertical="center"/>
    </xf>
    <xf numFmtId="0" fontId="142" fillId="0" borderId="0" xfId="0" applyFont="1" applyAlignment="1">
      <alignment vertical="center"/>
    </xf>
    <xf numFmtId="0" fontId="139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7" fillId="0" borderId="0" xfId="14" applyNumberFormat="1" applyAlignment="1">
      <alignment horizontal="center" vertical="center"/>
    </xf>
    <xf numFmtId="0" fontId="171" fillId="0" borderId="0" xfId="14" applyFont="1" applyAlignment="1">
      <alignment vertical="center"/>
    </xf>
    <xf numFmtId="164" fontId="137" fillId="0" borderId="47" xfId="14" applyNumberFormat="1" applyBorder="1" applyAlignment="1">
      <alignment horizontal="center" vertical="center"/>
    </xf>
    <xf numFmtId="164" fontId="137" fillId="0" borderId="46" xfId="14" applyNumberFormat="1" applyBorder="1" applyAlignment="1">
      <alignment horizontal="center" vertical="center"/>
    </xf>
    <xf numFmtId="164" fontId="137" fillId="0" borderId="45" xfId="14" applyNumberFormat="1" applyBorder="1" applyAlignment="1">
      <alignment horizontal="center" vertical="center"/>
    </xf>
    <xf numFmtId="0" fontId="171" fillId="15" borderId="51" xfId="14" applyFont="1" applyFill="1" applyBorder="1" applyAlignment="1">
      <alignment horizontal="center" vertical="center"/>
    </xf>
    <xf numFmtId="164" fontId="137" fillId="0" borderId="202" xfId="14" applyNumberFormat="1" applyBorder="1" applyAlignment="1">
      <alignment horizontal="center" vertical="center"/>
    </xf>
    <xf numFmtId="164" fontId="137" fillId="0" borderId="203" xfId="14" applyNumberFormat="1" applyBorder="1" applyAlignment="1">
      <alignment horizontal="center" vertical="center"/>
    </xf>
    <xf numFmtId="164" fontId="137" fillId="0" borderId="171" xfId="14" applyNumberFormat="1" applyBorder="1" applyAlignment="1">
      <alignment horizontal="center" vertical="center"/>
    </xf>
    <xf numFmtId="164" fontId="137" fillId="0" borderId="182" xfId="14" applyNumberFormat="1" applyBorder="1" applyAlignment="1">
      <alignment horizontal="center" vertical="center"/>
    </xf>
    <xf numFmtId="164" fontId="137" fillId="0" borderId="22" xfId="14" applyNumberFormat="1" applyBorder="1" applyAlignment="1">
      <alignment horizontal="center" vertical="center"/>
    </xf>
    <xf numFmtId="164" fontId="137" fillId="0" borderId="172" xfId="14" applyNumberFormat="1" applyBorder="1" applyAlignment="1">
      <alignment horizontal="center" vertical="center"/>
    </xf>
    <xf numFmtId="164" fontId="137" fillId="0" borderId="34" xfId="14" applyNumberFormat="1" applyBorder="1" applyAlignment="1">
      <alignment horizontal="center" vertical="center"/>
    </xf>
    <xf numFmtId="164" fontId="137" fillId="0" borderId="33" xfId="14" applyNumberFormat="1" applyBorder="1" applyAlignment="1">
      <alignment horizontal="center" vertical="center"/>
    </xf>
    <xf numFmtId="164" fontId="137" fillId="0" borderId="32" xfId="14" applyNumberFormat="1" applyBorder="1" applyAlignment="1">
      <alignment horizontal="center" vertical="center"/>
    </xf>
    <xf numFmtId="0" fontId="171" fillId="15" borderId="50" xfId="14" applyFont="1" applyFill="1" applyBorder="1" applyAlignment="1">
      <alignment horizontal="center" vertical="center"/>
    </xf>
    <xf numFmtId="0" fontId="171" fillId="15" borderId="49" xfId="14" applyFont="1" applyFill="1" applyBorder="1" applyAlignment="1">
      <alignment horizontal="center" vertical="center"/>
    </xf>
    <xf numFmtId="0" fontId="171" fillId="15" borderId="32" xfId="14" applyFont="1" applyFill="1" applyBorder="1" applyAlignment="1">
      <alignment horizontal="center" vertical="center"/>
    </xf>
    <xf numFmtId="0" fontId="171" fillId="15" borderId="48" xfId="14" applyFont="1" applyFill="1" applyBorder="1" applyAlignment="1">
      <alignment horizontal="center" vertical="center"/>
    </xf>
    <xf numFmtId="169" fontId="139" fillId="0" borderId="0" xfId="14" applyNumberFormat="1" applyFont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64" fontId="138" fillId="0" borderId="0" xfId="14" applyNumberFormat="1" applyFont="1" applyAlignment="1">
      <alignment horizontal="center" vertical="center"/>
    </xf>
    <xf numFmtId="169" fontId="138" fillId="0" borderId="0" xfId="14" applyNumberFormat="1" applyFont="1" applyAlignment="1">
      <alignment vertical="center"/>
    </xf>
    <xf numFmtId="0" fontId="171" fillId="15" borderId="202" xfId="14" applyFont="1" applyFill="1" applyBorder="1" applyAlignment="1">
      <alignment horizontal="center" vertical="center"/>
    </xf>
    <xf numFmtId="0" fontId="171" fillId="15" borderId="203" xfId="14" applyFont="1" applyFill="1" applyBorder="1" applyAlignment="1">
      <alignment horizontal="center" vertical="center"/>
    </xf>
    <xf numFmtId="0" fontId="171" fillId="15" borderId="205" xfId="14" applyFont="1" applyFill="1" applyBorder="1" applyAlignment="1">
      <alignment horizontal="right" vertical="center"/>
    </xf>
    <xf numFmtId="0" fontId="171" fillId="15" borderId="197" xfId="14" applyFont="1" applyFill="1" applyBorder="1" applyAlignment="1">
      <alignment horizontal="center" vertical="center"/>
    </xf>
    <xf numFmtId="0" fontId="171" fillId="15" borderId="203" xfId="14" applyFont="1" applyFill="1" applyBorder="1" applyAlignment="1">
      <alignment horizontal="right" vertical="center"/>
    </xf>
    <xf numFmtId="0" fontId="171" fillId="15" borderId="171" xfId="14" applyFont="1" applyFill="1" applyBorder="1" applyAlignment="1">
      <alignment horizontal="center" vertical="center"/>
    </xf>
    <xf numFmtId="169" fontId="170" fillId="0" borderId="0" xfId="0" applyNumberFormat="1" applyFont="1" applyAlignment="1">
      <alignment horizontal="center" vertical="center"/>
    </xf>
    <xf numFmtId="164" fontId="170" fillId="0" borderId="0" xfId="0" applyNumberFormat="1" applyFont="1" applyAlignment="1">
      <alignment horizontal="center" vertical="center"/>
    </xf>
    <xf numFmtId="169" fontId="170" fillId="0" borderId="195" xfId="0" applyNumberFormat="1" applyFont="1" applyBorder="1" applyAlignment="1">
      <alignment horizontal="center" vertical="center"/>
    </xf>
    <xf numFmtId="169" fontId="170" fillId="0" borderId="176" xfId="0" applyNumberFormat="1" applyFont="1" applyBorder="1" applyAlignment="1">
      <alignment horizontal="center" vertical="center"/>
    </xf>
    <xf numFmtId="164" fontId="170" fillId="0" borderId="176" xfId="0" applyNumberFormat="1" applyFont="1" applyBorder="1" applyAlignment="1">
      <alignment horizontal="center" vertical="center"/>
    </xf>
    <xf numFmtId="169" fontId="170" fillId="0" borderId="182" xfId="0" applyNumberFormat="1" applyFont="1" applyBorder="1" applyAlignment="1">
      <alignment horizontal="center" vertical="center"/>
    </xf>
    <xf numFmtId="169" fontId="170" fillId="0" borderId="22" xfId="0" applyNumberFormat="1" applyFont="1" applyBorder="1" applyAlignment="1">
      <alignment horizontal="center" vertical="center"/>
    </xf>
    <xf numFmtId="169" fontId="170" fillId="0" borderId="172" xfId="0" applyNumberFormat="1" applyFont="1" applyBorder="1" applyAlignment="1">
      <alignment horizontal="center" vertical="center"/>
    </xf>
    <xf numFmtId="164" fontId="170" fillId="0" borderId="172" xfId="0" applyNumberFormat="1" applyFont="1" applyBorder="1" applyAlignment="1">
      <alignment horizontal="center" vertical="center"/>
    </xf>
    <xf numFmtId="164" fontId="170" fillId="0" borderId="204" xfId="0" applyNumberFormat="1" applyFont="1" applyBorder="1" applyAlignment="1">
      <alignment horizontal="center" vertical="center"/>
    </xf>
    <xf numFmtId="0" fontId="139" fillId="0" borderId="177" xfId="14" applyFont="1" applyBorder="1" applyAlignment="1">
      <alignment horizontal="center" vertical="center"/>
    </xf>
    <xf numFmtId="164" fontId="170" fillId="0" borderId="182" xfId="0" applyNumberFormat="1" applyFont="1" applyBorder="1" applyAlignment="1">
      <alignment horizontal="center" vertical="center"/>
    </xf>
    <xf numFmtId="164" fontId="170" fillId="0" borderId="21" xfId="0" applyNumberFormat="1" applyFont="1" applyBorder="1" applyAlignment="1">
      <alignment horizontal="center" vertical="center"/>
    </xf>
    <xf numFmtId="0" fontId="139" fillId="0" borderId="173" xfId="14" applyFont="1" applyBorder="1" applyAlignment="1">
      <alignment horizontal="center" vertical="center"/>
    </xf>
    <xf numFmtId="0" fontId="140" fillId="15" borderId="39" xfId="14" applyFont="1" applyFill="1" applyBorder="1" applyAlignment="1">
      <alignment horizontal="center" vertical="center"/>
    </xf>
    <xf numFmtId="169" fontId="139" fillId="0" borderId="0" xfId="14" applyNumberFormat="1" applyFont="1" applyAlignment="1">
      <alignment vertical="center"/>
    </xf>
    <xf numFmtId="164" fontId="139" fillId="0" borderId="42" xfId="0" applyNumberFormat="1" applyFont="1" applyBorder="1" applyAlignment="1">
      <alignment horizontal="center" vertical="center"/>
    </xf>
    <xf numFmtId="0" fontId="174" fillId="0" borderId="0" xfId="14" applyFont="1" applyAlignment="1">
      <alignment horizontal="center" vertical="center"/>
    </xf>
    <xf numFmtId="164" fontId="170" fillId="0" borderId="174" xfId="0" applyNumberFormat="1" applyFont="1" applyBorder="1" applyAlignment="1">
      <alignment horizontal="center" vertical="center"/>
    </xf>
    <xf numFmtId="0" fontId="140" fillId="15" borderId="172" xfId="14" applyFont="1" applyFill="1" applyBorder="1" applyAlignment="1">
      <alignment horizontal="center" vertical="center"/>
    </xf>
    <xf numFmtId="169" fontId="137" fillId="0" borderId="179" xfId="14" applyNumberFormat="1" applyBorder="1" applyAlignment="1">
      <alignment horizontal="center" vertical="center"/>
    </xf>
    <xf numFmtId="169" fontId="137" fillId="0" borderId="174" xfId="14" applyNumberFormat="1" applyBorder="1" applyAlignment="1">
      <alignment horizontal="center" vertical="center"/>
    </xf>
    <xf numFmtId="164" fontId="170" fillId="0" borderId="41" xfId="0" applyNumberFormat="1" applyFont="1" applyBorder="1" applyAlignment="1">
      <alignment horizontal="center" vertical="center"/>
    </xf>
    <xf numFmtId="0" fontId="140" fillId="15" borderId="171" xfId="14" applyFont="1" applyFill="1" applyBorder="1" applyAlignment="1">
      <alignment horizontal="center" vertical="center"/>
    </xf>
    <xf numFmtId="164" fontId="170" fillId="0" borderId="179" xfId="0" applyNumberFormat="1" applyFont="1" applyBorder="1" applyAlignment="1">
      <alignment horizontal="center" vertical="center"/>
    </xf>
    <xf numFmtId="169" fontId="170" fillId="0" borderId="203" xfId="0" applyNumberFormat="1" applyFont="1" applyBorder="1" applyAlignment="1">
      <alignment horizontal="center" vertical="center"/>
    </xf>
    <xf numFmtId="169" fontId="170" fillId="0" borderId="171" xfId="0" applyNumberFormat="1" applyFont="1" applyBorder="1" applyAlignment="1">
      <alignment horizontal="center" vertical="center"/>
    </xf>
    <xf numFmtId="164" fontId="138" fillId="0" borderId="50" xfId="0" applyNumberFormat="1" applyFont="1" applyBorder="1" applyAlignment="1">
      <alignment vertical="center"/>
    </xf>
    <xf numFmtId="169" fontId="138" fillId="0" borderId="49" xfId="14" applyNumberFormat="1" applyFont="1" applyBorder="1" applyAlignment="1">
      <alignment vertical="center"/>
    </xf>
    <xf numFmtId="169" fontId="139" fillId="0" borderId="49" xfId="14" applyNumberFormat="1" applyFont="1" applyBorder="1" applyAlignment="1">
      <alignment vertical="center"/>
    </xf>
    <xf numFmtId="169" fontId="175" fillId="0" borderId="49" xfId="14" applyNumberFormat="1" applyFont="1" applyBorder="1" applyAlignment="1">
      <alignment vertical="center"/>
    </xf>
    <xf numFmtId="0" fontId="176" fillId="0" borderId="48" xfId="0" applyFont="1" applyBorder="1" applyAlignment="1">
      <alignment horizontal="center" vertical="center"/>
    </xf>
    <xf numFmtId="164" fontId="138" fillId="0" borderId="44" xfId="0" applyNumberFormat="1" applyFont="1" applyBorder="1" applyAlignment="1">
      <alignment vertical="center"/>
    </xf>
    <xf numFmtId="0" fontId="139" fillId="0" borderId="44" xfId="14" applyFont="1" applyBorder="1" applyAlignment="1">
      <alignment vertical="center"/>
    </xf>
    <xf numFmtId="0" fontId="139" fillId="0" borderId="50" xfId="0" applyFont="1" applyBorder="1" applyAlignment="1">
      <alignment vertical="center"/>
    </xf>
    <xf numFmtId="0" fontId="139" fillId="0" borderId="48" xfId="0" applyFont="1" applyBorder="1" applyAlignment="1">
      <alignment vertical="center"/>
    </xf>
    <xf numFmtId="0" fontId="142" fillId="0" borderId="42" xfId="0" applyFont="1" applyBorder="1" applyAlignment="1">
      <alignment vertical="center"/>
    </xf>
    <xf numFmtId="0" fontId="137" fillId="0" borderId="0" xfId="14" applyAlignment="1">
      <alignment vertical="center"/>
    </xf>
    <xf numFmtId="0" fontId="173" fillId="0" borderId="0" xfId="14" applyFont="1" applyAlignment="1">
      <alignment vertical="center" wrapText="1"/>
    </xf>
    <xf numFmtId="164" fontId="137" fillId="0" borderId="170" xfId="14" applyNumberFormat="1" applyBorder="1" applyAlignment="1">
      <alignment horizontal="center" vertical="center"/>
    </xf>
    <xf numFmtId="164" fontId="137" fillId="0" borderId="16" xfId="14" applyNumberFormat="1" applyBorder="1" applyAlignment="1">
      <alignment horizontal="center" vertical="center"/>
    </xf>
    <xf numFmtId="164" fontId="137" fillId="0" borderId="181" xfId="14" applyNumberFormat="1" applyBorder="1" applyAlignment="1">
      <alignment horizontal="center" vertical="center"/>
    </xf>
    <xf numFmtId="164" fontId="137" fillId="0" borderId="204" xfId="14" applyNumberFormat="1" applyBorder="1" applyAlignment="1">
      <alignment horizontal="center" vertical="center"/>
    </xf>
    <xf numFmtId="164" fontId="137" fillId="0" borderId="195" xfId="14" applyNumberFormat="1" applyBorder="1" applyAlignment="1">
      <alignment horizontal="center" vertical="center"/>
    </xf>
    <xf numFmtId="164" fontId="137" fillId="0" borderId="176" xfId="14" applyNumberFormat="1" applyBorder="1" applyAlignment="1">
      <alignment horizontal="center" vertical="center"/>
    </xf>
    <xf numFmtId="164" fontId="137" fillId="0" borderId="0" xfId="14" applyNumberFormat="1" applyAlignment="1">
      <alignment horizontal="center" vertical="center"/>
    </xf>
    <xf numFmtId="0" fontId="171" fillId="15" borderId="41" xfId="14" applyFont="1" applyFill="1" applyBorder="1" applyAlignment="1">
      <alignment horizontal="center" vertical="center"/>
    </xf>
    <xf numFmtId="0" fontId="171" fillId="15" borderId="40" xfId="14" applyFont="1" applyFill="1" applyBorder="1" applyAlignment="1">
      <alignment horizontal="center" vertical="center"/>
    </xf>
    <xf numFmtId="0" fontId="171" fillId="15" borderId="39" xfId="14" applyFont="1" applyFill="1" applyBorder="1" applyAlignment="1">
      <alignment horizontal="center" vertical="center"/>
    </xf>
    <xf numFmtId="164" fontId="170" fillId="0" borderId="180" xfId="0" applyNumberFormat="1" applyFont="1" applyBorder="1" applyAlignment="1">
      <alignment horizontal="center" vertical="center"/>
    </xf>
    <xf numFmtId="164" fontId="170" fillId="0" borderId="169" xfId="0" applyNumberFormat="1" applyFont="1" applyBorder="1" applyAlignment="1">
      <alignment horizontal="center" vertical="center"/>
    </xf>
    <xf numFmtId="0" fontId="140" fillId="15" borderId="168" xfId="14" applyFont="1" applyFill="1" applyBorder="1" applyAlignment="1">
      <alignment horizontal="center" vertical="center"/>
    </xf>
    <xf numFmtId="169" fontId="139" fillId="0" borderId="50" xfId="14" applyNumberFormat="1" applyFont="1" applyBorder="1" applyAlignment="1">
      <alignment vertical="center"/>
    </xf>
    <xf numFmtId="6" fontId="177" fillId="0" borderId="44" xfId="14" applyNumberFormat="1" applyFont="1" applyBorder="1" applyAlignment="1">
      <alignment vertical="center"/>
    </xf>
    <xf numFmtId="6" fontId="177" fillId="0" borderId="0" xfId="14" applyNumberFormat="1" applyFont="1" applyAlignment="1">
      <alignment vertical="center"/>
    </xf>
    <xf numFmtId="0" fontId="137" fillId="0" borderId="0" xfId="14" applyAlignment="1">
      <alignment horizontal="center" vertical="center"/>
    </xf>
    <xf numFmtId="2" fontId="137" fillId="0" borderId="0" xfId="14" applyNumberFormat="1" applyAlignment="1">
      <alignment horizontal="center" vertical="center"/>
    </xf>
    <xf numFmtId="0" fontId="173" fillId="0" borderId="0" xfId="14" applyFont="1" applyAlignment="1">
      <alignment horizontal="center" vertical="center" wrapText="1"/>
    </xf>
    <xf numFmtId="164" fontId="137" fillId="0" borderId="210" xfId="14" applyNumberFormat="1" applyBorder="1" applyAlignment="1">
      <alignment horizontal="center" vertical="center"/>
    </xf>
    <xf numFmtId="164" fontId="137" fillId="0" borderId="13" xfId="14" applyNumberFormat="1" applyBorder="1" applyAlignment="1">
      <alignment horizontal="center" vertical="center"/>
    </xf>
    <xf numFmtId="164" fontId="137" fillId="0" borderId="175" xfId="14" applyNumberFormat="1" applyBorder="1" applyAlignment="1">
      <alignment horizontal="center" vertical="center"/>
    </xf>
    <xf numFmtId="164" fontId="170" fillId="0" borderId="22" xfId="0" applyNumberFormat="1" applyFont="1" applyBorder="1" applyAlignment="1">
      <alignment horizontal="center" vertical="center"/>
    </xf>
    <xf numFmtId="169" fontId="137" fillId="0" borderId="41" xfId="14" applyNumberFormat="1" applyBorder="1" applyAlignment="1">
      <alignment horizontal="center" vertical="center"/>
    </xf>
    <xf numFmtId="164" fontId="170" fillId="0" borderId="181" xfId="0" applyNumberFormat="1" applyFont="1" applyBorder="1" applyAlignment="1">
      <alignment horizontal="center" vertical="center"/>
    </xf>
    <xf numFmtId="164" fontId="170" fillId="0" borderId="210" xfId="0" applyNumberFormat="1" applyFont="1" applyBorder="1" applyAlignment="1">
      <alignment horizontal="center" vertical="center"/>
    </xf>
    <xf numFmtId="164" fontId="170" fillId="0" borderId="13" xfId="0" applyNumberFormat="1" applyFont="1" applyBorder="1" applyAlignment="1">
      <alignment horizontal="center" vertical="center"/>
    </xf>
    <xf numFmtId="164" fontId="170" fillId="0" borderId="2" xfId="0" applyNumberFormat="1" applyFont="1" applyBorder="1" applyAlignment="1">
      <alignment horizontal="center" vertical="center"/>
    </xf>
    <xf numFmtId="0" fontId="140" fillId="15" borderId="170" xfId="14" applyFont="1" applyFill="1" applyBorder="1" applyAlignment="1">
      <alignment horizontal="center" vertical="center"/>
    </xf>
    <xf numFmtId="0" fontId="140" fillId="15" borderId="16" xfId="14" applyFont="1" applyFill="1" applyBorder="1" applyAlignment="1">
      <alignment horizontal="center" vertical="center"/>
    </xf>
    <xf numFmtId="0" fontId="140" fillId="15" borderId="15" xfId="14" applyFont="1" applyFill="1" applyBorder="1" applyAlignment="1">
      <alignment horizontal="center" vertical="center"/>
    </xf>
    <xf numFmtId="0" fontId="140" fillId="15" borderId="44" xfId="14" applyFont="1" applyFill="1" applyBorder="1" applyAlignment="1">
      <alignment horizontal="center" vertical="center"/>
    </xf>
    <xf numFmtId="0" fontId="140" fillId="15" borderId="14" xfId="14" applyFont="1" applyFill="1" applyBorder="1" applyAlignment="1">
      <alignment horizontal="center" vertical="center"/>
    </xf>
    <xf numFmtId="0" fontId="174" fillId="12" borderId="181" xfId="0" applyFont="1" applyFill="1" applyBorder="1" applyAlignment="1">
      <alignment horizontal="left"/>
    </xf>
    <xf numFmtId="0" fontId="174" fillId="12" borderId="45" xfId="0" applyFont="1" applyFill="1" applyBorder="1" applyAlignment="1">
      <alignment horizontal="left"/>
    </xf>
    <xf numFmtId="166" fontId="174" fillId="0" borderId="0" xfId="1" applyNumberFormat="1" applyFont="1" applyFill="1" applyBorder="1" applyAlignment="1">
      <alignment horizontal="left"/>
    </xf>
    <xf numFmtId="0" fontId="174" fillId="12" borderId="16" xfId="14" applyFont="1" applyFill="1" applyBorder="1" applyAlignment="1">
      <alignment vertical="center"/>
    </xf>
    <xf numFmtId="164" fontId="139" fillId="12" borderId="170" xfId="14" applyNumberFormat="1" applyFont="1" applyFill="1" applyBorder="1" applyAlignment="1">
      <alignment vertical="center"/>
    </xf>
    <xf numFmtId="0" fontId="174" fillId="12" borderId="46" xfId="14" applyFont="1" applyFill="1" applyBorder="1" applyAlignment="1">
      <alignment vertical="center"/>
    </xf>
    <xf numFmtId="164" fontId="139" fillId="12" borderId="47" xfId="14" applyNumberFormat="1" applyFont="1" applyFill="1" applyBorder="1" applyAlignment="1">
      <alignment vertical="center"/>
    </xf>
    <xf numFmtId="164" fontId="180" fillId="12" borderId="182" xfId="0" applyNumberFormat="1" applyFont="1" applyFill="1" applyBorder="1" applyAlignment="1">
      <alignment horizontal="center" vertical="center"/>
    </xf>
    <xf numFmtId="0" fontId="171" fillId="15" borderId="71" xfId="14" applyFont="1" applyFill="1" applyBorder="1" applyAlignment="1">
      <alignment horizontal="center" vertical="center"/>
    </xf>
    <xf numFmtId="0" fontId="171" fillId="15" borderId="45" xfId="14" applyFont="1" applyFill="1" applyBorder="1" applyAlignment="1">
      <alignment horizontal="center" vertical="center"/>
    </xf>
    <xf numFmtId="0" fontId="171" fillId="15" borderId="199" xfId="14" applyFont="1" applyFill="1" applyBorder="1" applyAlignment="1">
      <alignment horizontal="center" vertical="center"/>
    </xf>
    <xf numFmtId="0" fontId="171" fillId="15" borderId="183" xfId="14" applyFont="1" applyFill="1" applyBorder="1" applyAlignment="1">
      <alignment horizontal="center" vertical="center"/>
    </xf>
    <xf numFmtId="0" fontId="171" fillId="15" borderId="196" xfId="14" applyFont="1" applyFill="1" applyBorder="1" applyAlignment="1">
      <alignment horizontal="center" vertical="center"/>
    </xf>
    <xf numFmtId="0" fontId="171" fillId="15" borderId="211" xfId="14" applyFont="1" applyFill="1" applyBorder="1" applyAlignment="1">
      <alignment horizontal="center" vertical="center"/>
    </xf>
    <xf numFmtId="0" fontId="141" fillId="0" borderId="0" xfId="14" applyFont="1" applyAlignment="1">
      <alignment vertical="center" wrapText="1"/>
    </xf>
    <xf numFmtId="178" fontId="164" fillId="0" borderId="0" xfId="14" applyNumberFormat="1" applyFont="1" applyAlignment="1">
      <alignment horizontal="center" vertical="center"/>
    </xf>
    <xf numFmtId="178" fontId="141" fillId="0" borderId="0" xfId="14" applyNumberFormat="1" applyFont="1" applyAlignment="1">
      <alignment vertical="center"/>
    </xf>
    <xf numFmtId="169" fontId="170" fillId="0" borderId="202" xfId="0" applyNumberFormat="1" applyFont="1" applyBorder="1" applyAlignment="1">
      <alignment horizontal="center" vertical="center"/>
    </xf>
    <xf numFmtId="169" fontId="170" fillId="0" borderId="204" xfId="0" applyNumberFormat="1" applyFont="1" applyBorder="1" applyAlignment="1">
      <alignment horizontal="center" vertical="center"/>
    </xf>
    <xf numFmtId="164" fontId="137" fillId="0" borderId="0" xfId="14" applyNumberFormat="1" applyAlignment="1">
      <alignment vertical="center"/>
    </xf>
    <xf numFmtId="0" fontId="171" fillId="0" borderId="0" xfId="14" applyFont="1" applyAlignment="1">
      <alignment vertical="center" wrapText="1"/>
    </xf>
    <xf numFmtId="0" fontId="171" fillId="15" borderId="44" xfId="14" applyFont="1" applyFill="1" applyBorder="1" applyAlignment="1">
      <alignment horizontal="center" vertical="center"/>
    </xf>
    <xf numFmtId="0" fontId="171" fillId="15" borderId="14" xfId="14" applyFont="1" applyFill="1" applyBorder="1" applyAlignment="1">
      <alignment horizontal="right" vertical="center"/>
    </xf>
    <xf numFmtId="0" fontId="171" fillId="15" borderId="20" xfId="14" applyFont="1" applyFill="1" applyBorder="1" applyAlignment="1">
      <alignment horizontal="center" vertical="center"/>
    </xf>
    <xf numFmtId="0" fontId="171" fillId="15" borderId="0" xfId="14" applyFont="1" applyFill="1" applyAlignment="1">
      <alignment horizontal="center" vertical="center"/>
    </xf>
    <xf numFmtId="0" fontId="171" fillId="15" borderId="0" xfId="14" applyFont="1" applyFill="1" applyAlignment="1">
      <alignment horizontal="right" vertical="center"/>
    </xf>
    <xf numFmtId="0" fontId="171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7" fillId="0" borderId="0" xfId="14" applyNumberFormat="1" applyAlignment="1">
      <alignment horizontal="right" vertical="center"/>
    </xf>
    <xf numFmtId="0" fontId="171" fillId="15" borderId="168" xfId="14" applyFont="1" applyFill="1" applyBorder="1" applyAlignment="1">
      <alignment vertical="center"/>
    </xf>
    <xf numFmtId="169" fontId="170" fillId="0" borderId="0" xfId="0" applyNumberFormat="1" applyFont="1" applyAlignment="1">
      <alignment vertical="center"/>
    </xf>
    <xf numFmtId="169" fontId="170" fillId="0" borderId="204" xfId="0" applyNumberFormat="1" applyFont="1" applyBorder="1" applyAlignment="1">
      <alignment vertical="center"/>
    </xf>
    <xf numFmtId="164" fontId="137" fillId="0" borderId="48" xfId="14" applyNumberFormat="1" applyBorder="1" applyAlignment="1">
      <alignment horizontal="center" vertical="center"/>
    </xf>
    <xf numFmtId="164" fontId="137" fillId="0" borderId="49" xfId="14" applyNumberFormat="1" applyBorder="1" applyAlignment="1">
      <alignment horizontal="center" vertical="center"/>
    </xf>
    <xf numFmtId="164" fontId="137" fillId="0" borderId="50" xfId="14" applyNumberFormat="1" applyBorder="1" applyAlignment="1">
      <alignment horizontal="center" vertical="center"/>
    </xf>
    <xf numFmtId="0" fontId="174" fillId="0" borderId="0" xfId="14" applyFont="1" applyAlignment="1">
      <alignment vertical="center"/>
    </xf>
    <xf numFmtId="164" fontId="0" fillId="0" borderId="180" xfId="0" applyNumberFormat="1" applyBorder="1" applyAlignment="1">
      <alignment horizontal="center"/>
    </xf>
    <xf numFmtId="0" fontId="121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30" fillId="9" borderId="36" xfId="0" applyFont="1" applyFill="1" applyBorder="1" applyAlignment="1">
      <alignment horizontal="center" vertical="center" wrapText="1"/>
    </xf>
    <xf numFmtId="164" fontId="13" fillId="0" borderId="197" xfId="0" applyNumberFormat="1" applyFont="1" applyBorder="1" applyAlignment="1">
      <alignment horizontal="center"/>
    </xf>
    <xf numFmtId="164" fontId="13" fillId="0" borderId="198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12" xfId="0" applyNumberFormat="1" applyFont="1" applyBorder="1" applyAlignment="1">
      <alignment horizontal="center"/>
    </xf>
    <xf numFmtId="0" fontId="8" fillId="0" borderId="198" xfId="0" applyFont="1" applyBorder="1" applyAlignment="1">
      <alignment horizontal="center"/>
    </xf>
    <xf numFmtId="2" fontId="108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center"/>
    </xf>
    <xf numFmtId="2" fontId="8" fillId="0" borderId="46" xfId="3" applyNumberFormat="1" applyFont="1" applyFill="1" applyBorder="1" applyAlignment="1">
      <alignment horizontal="center"/>
    </xf>
    <xf numFmtId="2" fontId="8" fillId="0" borderId="47" xfId="3" applyNumberFormat="1" applyFont="1" applyFill="1" applyBorder="1" applyAlignment="1">
      <alignment horizontal="center"/>
    </xf>
    <xf numFmtId="0" fontId="22" fillId="6" borderId="42" xfId="0" applyFont="1" applyFill="1" applyBorder="1" applyAlignment="1">
      <alignment vertical="center"/>
    </xf>
    <xf numFmtId="0" fontId="22" fillId="6" borderId="44" xfId="0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horizontal="left"/>
    </xf>
    <xf numFmtId="0" fontId="4" fillId="12" borderId="0" xfId="0" applyFont="1" applyFill="1"/>
    <xf numFmtId="0" fontId="0" fillId="12" borderId="0" xfId="0" applyFill="1"/>
    <xf numFmtId="173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9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200" xfId="0" applyNumberFormat="1" applyBorder="1" applyAlignment="1" applyProtection="1">
      <alignment horizontal="center"/>
      <protection hidden="1"/>
    </xf>
    <xf numFmtId="173" fontId="4" fillId="0" borderId="0" xfId="0" applyNumberFormat="1" applyFont="1"/>
    <xf numFmtId="0" fontId="4" fillId="0" borderId="22" xfId="0" applyFont="1" applyBorder="1"/>
    <xf numFmtId="0" fontId="95" fillId="9" borderId="22" xfId="0" applyFont="1" applyFill="1" applyBorder="1" applyAlignment="1">
      <alignment horizontal="center"/>
    </xf>
    <xf numFmtId="0" fontId="95" fillId="0" borderId="22" xfId="0" applyFont="1" applyBorder="1" applyAlignment="1">
      <alignment horizontal="center"/>
    </xf>
    <xf numFmtId="4" fontId="4" fillId="17" borderId="24" xfId="0" applyNumberFormat="1" applyFont="1" applyFill="1" applyBorder="1"/>
    <xf numFmtId="0" fontId="4" fillId="22" borderId="24" xfId="0" applyFont="1" applyFill="1" applyBorder="1"/>
    <xf numFmtId="173" fontId="4" fillId="22" borderId="0" xfId="0" applyNumberFormat="1" applyFont="1" applyFill="1"/>
    <xf numFmtId="4" fontId="4" fillId="12" borderId="0" xfId="0" applyNumberFormat="1" applyFont="1" applyFill="1"/>
    <xf numFmtId="0" fontId="181" fillId="17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3" fontId="21" fillId="0" borderId="214" xfId="12" applyNumberFormat="1" applyFont="1" applyBorder="1" applyAlignment="1" applyProtection="1">
      <alignment horizontal="center" vertical="center"/>
      <protection hidden="1"/>
    </xf>
    <xf numFmtId="173" fontId="21" fillId="0" borderId="215" xfId="12" applyNumberFormat="1" applyFont="1" applyBorder="1" applyAlignment="1" applyProtection="1">
      <alignment horizontal="center" vertical="center"/>
      <protection hidden="1"/>
    </xf>
    <xf numFmtId="173" fontId="21" fillId="0" borderId="216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6" fillId="19" borderId="44" xfId="0" applyNumberFormat="1" applyFont="1" applyFill="1" applyBorder="1" applyAlignment="1">
      <alignment horizontal="right" vertical="center"/>
    </xf>
    <xf numFmtId="0" fontId="116" fillId="19" borderId="34" xfId="0" applyFont="1" applyFill="1" applyBorder="1" applyAlignment="1">
      <alignment horizontal="right"/>
    </xf>
    <xf numFmtId="0" fontId="116" fillId="19" borderId="44" xfId="0" applyFont="1" applyFill="1" applyBorder="1" applyAlignment="1">
      <alignment horizontal="right" vertical="center"/>
    </xf>
    <xf numFmtId="9" fontId="116" fillId="19" borderId="47" xfId="1" applyFont="1" applyFill="1" applyBorder="1" applyAlignment="1">
      <alignment horizontal="right" vertical="center"/>
    </xf>
    <xf numFmtId="0" fontId="5" fillId="4" borderId="34" xfId="0" applyFont="1" applyFill="1" applyBorder="1" applyAlignment="1">
      <alignment horizontal="right"/>
    </xf>
    <xf numFmtId="164" fontId="8" fillId="0" borderId="34" xfId="0" applyNumberFormat="1" applyFont="1" applyBorder="1"/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30" fillId="9" borderId="199" xfId="0" applyFont="1" applyFill="1" applyBorder="1" applyAlignment="1">
      <alignment horizontal="center" vertical="center" wrapText="1"/>
    </xf>
    <xf numFmtId="164" fontId="13" fillId="0" borderId="183" xfId="0" applyNumberFormat="1" applyFont="1" applyBorder="1" applyAlignment="1">
      <alignment horizontal="center"/>
    </xf>
    <xf numFmtId="164" fontId="13" fillId="0" borderId="196" xfId="0" applyNumberFormat="1" applyFont="1" applyBorder="1" applyAlignment="1">
      <alignment horizontal="center"/>
    </xf>
    <xf numFmtId="0" fontId="130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173" fontId="21" fillId="0" borderId="134" xfId="12" applyNumberFormat="1" applyFont="1" applyBorder="1" applyAlignment="1" applyProtection="1">
      <alignment horizontal="center" vertical="center"/>
      <protection hidden="1"/>
    </xf>
    <xf numFmtId="164" fontId="8" fillId="0" borderId="46" xfId="0" applyNumberFormat="1" applyFont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4" fillId="2" borderId="199" xfId="0" applyFont="1" applyFill="1" applyBorder="1" applyAlignment="1">
      <alignment horizontal="center" vertical="center"/>
    </xf>
    <xf numFmtId="173" fontId="4" fillId="12" borderId="0" xfId="0" applyNumberFormat="1" applyFont="1" applyFill="1"/>
    <xf numFmtId="164" fontId="8" fillId="0" borderId="0" xfId="0" applyNumberFormat="1" applyFont="1" applyAlignment="1">
      <alignment horizontal="right" vertical="center"/>
    </xf>
    <xf numFmtId="173" fontId="21" fillId="0" borderId="129" xfId="0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center" vertical="center"/>
      <protection hidden="1"/>
    </xf>
    <xf numFmtId="173" fontId="21" fillId="0" borderId="128" xfId="12" applyNumberFormat="1" applyFont="1" applyBorder="1" applyAlignment="1" applyProtection="1">
      <alignment horizontal="center" vertical="center"/>
      <protection hidden="1"/>
    </xf>
    <xf numFmtId="173" fontId="21" fillId="0" borderId="127" xfId="12" applyNumberFormat="1" applyFont="1" applyBorder="1" applyAlignment="1" applyProtection="1">
      <alignment horizontal="center" vertical="center"/>
      <protection hidden="1"/>
    </xf>
    <xf numFmtId="164" fontId="170" fillId="0" borderId="206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71" fillId="15" borderId="33" xfId="14" applyFont="1" applyFill="1" applyBorder="1" applyAlignment="1">
      <alignment horizontal="center" vertical="center"/>
    </xf>
    <xf numFmtId="0" fontId="171" fillId="15" borderId="168" xfId="14" applyFont="1" applyFill="1" applyBorder="1" applyAlignment="1">
      <alignment horizontal="center" vertical="center"/>
    </xf>
    <xf numFmtId="0" fontId="171" fillId="15" borderId="43" xfId="14" applyFont="1" applyFill="1" applyBorder="1" applyAlignment="1">
      <alignment horizontal="center" vertical="center"/>
    </xf>
    <xf numFmtId="164" fontId="180" fillId="12" borderId="22" xfId="0" applyNumberFormat="1" applyFont="1" applyFill="1" applyBorder="1" applyAlignment="1">
      <alignment horizontal="center" vertical="center"/>
    </xf>
    <xf numFmtId="164" fontId="170" fillId="0" borderId="195" xfId="0" applyNumberFormat="1" applyFont="1" applyBorder="1" applyAlignment="1">
      <alignment horizontal="center" vertical="center"/>
    </xf>
    <xf numFmtId="0" fontId="140" fillId="15" borderId="71" xfId="14" applyFont="1" applyFill="1" applyBorder="1" applyAlignment="1">
      <alignment horizontal="center" vertical="center"/>
    </xf>
    <xf numFmtId="0" fontId="171" fillId="15" borderId="48" xfId="14" applyFont="1" applyFill="1" applyBorder="1" applyAlignment="1">
      <alignment vertical="center"/>
    </xf>
    <xf numFmtId="0" fontId="172" fillId="0" borderId="0" xfId="14" applyFont="1" applyAlignment="1">
      <alignment horizontal="center" vertical="center"/>
    </xf>
    <xf numFmtId="169" fontId="140" fillId="15" borderId="41" xfId="14" applyNumberFormat="1" applyFont="1" applyFill="1" applyBorder="1" applyAlignment="1">
      <alignment horizontal="center" vertical="center"/>
    </xf>
    <xf numFmtId="164" fontId="137" fillId="0" borderId="44" xfId="14" applyNumberFormat="1" applyBorder="1" applyAlignment="1">
      <alignment horizontal="center" vertical="center"/>
    </xf>
    <xf numFmtId="0" fontId="171" fillId="15" borderId="43" xfId="14" applyFont="1" applyFill="1" applyBorder="1" applyAlignment="1">
      <alignment vertical="center"/>
    </xf>
    <xf numFmtId="0" fontId="171" fillId="15" borderId="51" xfId="14" applyFont="1" applyFill="1" applyBorder="1" applyAlignment="1">
      <alignment vertical="center"/>
    </xf>
    <xf numFmtId="0" fontId="171" fillId="15" borderId="33" xfId="14" applyFont="1" applyFill="1" applyBorder="1" applyAlignment="1">
      <alignment horizontal="right" vertical="center"/>
    </xf>
    <xf numFmtId="0" fontId="171" fillId="15" borderId="212" xfId="14" applyFont="1" applyFill="1" applyBorder="1" applyAlignment="1">
      <alignment horizontal="center" vertical="center"/>
    </xf>
    <xf numFmtId="0" fontId="171" fillId="15" borderId="209" xfId="14" applyFont="1" applyFill="1" applyBorder="1" applyAlignment="1">
      <alignment horizontal="center" vertical="center"/>
    </xf>
    <xf numFmtId="0" fontId="171" fillId="15" borderId="34" xfId="14" applyFont="1" applyFill="1" applyBorder="1" applyAlignment="1">
      <alignment horizontal="center" vertical="center"/>
    </xf>
    <xf numFmtId="0" fontId="171" fillId="15" borderId="32" xfId="14" applyFont="1" applyFill="1" applyBorder="1" applyAlignment="1">
      <alignment vertical="center"/>
    </xf>
    <xf numFmtId="0" fontId="171" fillId="15" borderId="40" xfId="14" applyFont="1" applyFill="1" applyBorder="1" applyAlignment="1">
      <alignment vertical="center"/>
    </xf>
    <xf numFmtId="164" fontId="170" fillId="0" borderId="16" xfId="0" applyNumberFormat="1" applyFont="1" applyBorder="1" applyAlignment="1">
      <alignment horizontal="center" vertical="center"/>
    </xf>
    <xf numFmtId="164" fontId="170" fillId="0" borderId="15" xfId="0" applyNumberFormat="1" applyFont="1" applyBorder="1" applyAlignment="1">
      <alignment horizontal="center" vertical="center"/>
    </xf>
    <xf numFmtId="164" fontId="170" fillId="0" borderId="170" xfId="0" applyNumberFormat="1" applyFont="1" applyBorder="1" applyAlignment="1">
      <alignment horizontal="center" vertical="center"/>
    </xf>
    <xf numFmtId="0" fontId="182" fillId="15" borderId="43" xfId="14" applyFont="1" applyFill="1" applyBorder="1" applyAlignment="1">
      <alignment horizontal="center" vertical="center"/>
    </xf>
    <xf numFmtId="0" fontId="182" fillId="15" borderId="43" xfId="14" applyFont="1" applyFill="1" applyBorder="1" applyAlignment="1">
      <alignment horizontal="center" vertical="center" wrapText="1"/>
    </xf>
    <xf numFmtId="0" fontId="140" fillId="15" borderId="213" xfId="14" applyFont="1" applyFill="1" applyBorder="1" applyAlignment="1">
      <alignment horizontal="center" vertical="center"/>
    </xf>
    <xf numFmtId="0" fontId="174" fillId="12" borderId="172" xfId="14" applyFont="1" applyFill="1" applyBorder="1" applyAlignment="1">
      <alignment horizontal="left" vertical="center"/>
    </xf>
    <xf numFmtId="0" fontId="174" fillId="12" borderId="22" xfId="14" applyFont="1" applyFill="1" applyBorder="1" applyAlignment="1">
      <alignment horizontal="center" vertical="center"/>
    </xf>
    <xf numFmtId="0" fontId="174" fillId="12" borderId="22" xfId="14" applyFont="1" applyFill="1" applyBorder="1" applyAlignment="1">
      <alignment vertical="center"/>
    </xf>
    <xf numFmtId="0" fontId="172" fillId="12" borderId="172" xfId="14" applyFont="1" applyFill="1" applyBorder="1" applyAlignment="1">
      <alignment vertical="center"/>
    </xf>
    <xf numFmtId="164" fontId="172" fillId="12" borderId="182" xfId="14" applyNumberFormat="1" applyFont="1" applyFill="1" applyBorder="1" applyAlignment="1">
      <alignment horizontal="right" vertical="center"/>
    </xf>
    <xf numFmtId="0" fontId="171" fillId="15" borderId="33" xfId="14" applyFont="1" applyFill="1" applyBorder="1" applyAlignment="1">
      <alignment vertical="center"/>
    </xf>
    <xf numFmtId="0" fontId="183" fillId="15" borderId="34" xfId="14" applyFont="1" applyFill="1" applyBorder="1" applyAlignment="1">
      <alignment vertical="center"/>
    </xf>
    <xf numFmtId="0" fontId="171" fillId="15" borderId="37" xfId="14" applyFont="1" applyFill="1" applyBorder="1" applyAlignment="1">
      <alignment horizontal="center" vertical="center"/>
    </xf>
    <xf numFmtId="0" fontId="171" fillId="15" borderId="38" xfId="14" applyFont="1" applyFill="1" applyBorder="1" applyAlignment="1">
      <alignment horizontal="center" vertical="center"/>
    </xf>
    <xf numFmtId="0" fontId="86" fillId="0" borderId="153" xfId="7" applyFont="1" applyFill="1" applyBorder="1" applyAlignment="1" applyProtection="1">
      <alignment horizontal="center"/>
      <protection locked="0"/>
    </xf>
    <xf numFmtId="0" fontId="174" fillId="0" borderId="172" xfId="14" applyFont="1" applyBorder="1" applyAlignment="1">
      <alignment horizontal="center" vertical="center"/>
    </xf>
    <xf numFmtId="0" fontId="174" fillId="0" borderId="176" xfId="14" applyFont="1" applyBorder="1" applyAlignment="1">
      <alignment horizontal="center" vertical="center"/>
    </xf>
    <xf numFmtId="0" fontId="140" fillId="15" borderId="32" xfId="14" applyFont="1" applyFill="1" applyBorder="1" applyAlignment="1">
      <alignment horizontal="center" vertical="center"/>
    </xf>
    <xf numFmtId="0" fontId="139" fillId="0" borderId="0" xfId="14" applyFont="1" applyAlignment="1">
      <alignment horizontal="right" vertical="center"/>
    </xf>
    <xf numFmtId="164" fontId="137" fillId="0" borderId="42" xfId="14" applyNumberFormat="1" applyBorder="1" applyAlignment="1">
      <alignment horizontal="center" vertical="center"/>
    </xf>
    <xf numFmtId="2" fontId="170" fillId="0" borderId="174" xfId="0" applyNumberFormat="1" applyFont="1" applyBorder="1" applyAlignment="1">
      <alignment horizontal="center" vertical="center"/>
    </xf>
    <xf numFmtId="49" fontId="170" fillId="0" borderId="174" xfId="0" applyNumberFormat="1" applyFont="1" applyBorder="1" applyAlignment="1">
      <alignment horizontal="center" vertical="center"/>
    </xf>
    <xf numFmtId="2" fontId="170" fillId="0" borderId="179" xfId="0" applyNumberFormat="1" applyFont="1" applyBorder="1" applyAlignment="1">
      <alignment horizontal="center" vertical="center"/>
    </xf>
    <xf numFmtId="169" fontId="171" fillId="15" borderId="41" xfId="14" applyNumberFormat="1" applyFont="1" applyFill="1" applyBorder="1" applyAlignment="1">
      <alignment horizontal="center" vertical="center"/>
    </xf>
    <xf numFmtId="0" fontId="140" fillId="15" borderId="41" xfId="14" applyFont="1" applyFill="1" applyBorder="1" applyAlignment="1">
      <alignment horizontal="center" vertical="center"/>
    </xf>
    <xf numFmtId="0" fontId="136" fillId="0" borderId="50" xfId="0" applyFont="1" applyBorder="1" applyAlignment="1">
      <alignment horizontal="center" vertical="center" wrapText="1"/>
    </xf>
    <xf numFmtId="0" fontId="136" fillId="0" borderId="44" xfId="0" applyFont="1" applyBorder="1" applyAlignment="1">
      <alignment horizontal="center" vertical="center" wrapText="1"/>
    </xf>
    <xf numFmtId="169" fontId="139" fillId="0" borderId="44" xfId="14" applyNumberFormat="1" applyFont="1" applyBorder="1" applyAlignment="1">
      <alignment vertical="center"/>
    </xf>
    <xf numFmtId="0" fontId="139" fillId="0" borderId="44" xfId="14" applyFont="1" applyBorder="1" applyAlignment="1">
      <alignment horizontal="center" vertical="center"/>
    </xf>
    <xf numFmtId="0" fontId="172" fillId="0" borderId="44" xfId="0" applyFont="1" applyBorder="1"/>
    <xf numFmtId="2" fontId="137" fillId="0" borderId="44" xfId="14" applyNumberFormat="1" applyBorder="1" applyAlignment="1">
      <alignment horizontal="center" vertical="center"/>
    </xf>
    <xf numFmtId="0" fontId="137" fillId="0" borderId="44" xfId="14" applyBorder="1" applyAlignment="1">
      <alignment horizontal="center" vertical="center"/>
    </xf>
    <xf numFmtId="0" fontId="137" fillId="0" borderId="44" xfId="14" applyBorder="1" applyAlignment="1">
      <alignment vertical="center"/>
    </xf>
    <xf numFmtId="0" fontId="174" fillId="0" borderId="44" xfId="14" applyFont="1" applyBorder="1" applyAlignment="1">
      <alignment vertical="center" wrapText="1"/>
    </xf>
    <xf numFmtId="181" fontId="139" fillId="0" borderId="44" xfId="16" applyNumberFormat="1" applyFont="1" applyBorder="1" applyAlignment="1">
      <alignment vertical="center"/>
    </xf>
    <xf numFmtId="169" fontId="170" fillId="0" borderId="24" xfId="0" applyNumberFormat="1" applyFont="1" applyBorder="1" applyAlignment="1">
      <alignment horizontal="center" vertical="center"/>
    </xf>
    <xf numFmtId="164" fontId="170" fillId="0" borderId="217" xfId="0" applyNumberFormat="1" applyFont="1" applyBorder="1" applyAlignment="1">
      <alignment horizontal="center" vertical="center"/>
    </xf>
    <xf numFmtId="169" fontId="170" fillId="0" borderId="27" xfId="0" applyNumberFormat="1" applyFont="1" applyBorder="1" applyAlignment="1">
      <alignment horizontal="center" vertical="center"/>
    </xf>
    <xf numFmtId="0" fontId="140" fillId="15" borderId="71" xfId="14" applyFont="1" applyFill="1" applyBorder="1" applyAlignment="1">
      <alignment vertical="center"/>
    </xf>
    <xf numFmtId="169" fontId="170" fillId="0" borderId="57" xfId="0" applyNumberFormat="1" applyFont="1" applyBorder="1" applyAlignment="1">
      <alignment horizontal="center" vertical="center"/>
    </xf>
    <xf numFmtId="169" fontId="170" fillId="0" borderId="173" xfId="0" applyNumberFormat="1" applyFont="1" applyBorder="1" applyAlignment="1">
      <alignment horizontal="center" vertical="center"/>
    </xf>
    <xf numFmtId="169" fontId="170" fillId="0" borderId="163" xfId="0" applyNumberFormat="1" applyFont="1" applyBorder="1" applyAlignment="1">
      <alignment horizontal="center" vertical="center"/>
    </xf>
    <xf numFmtId="169" fontId="170" fillId="0" borderId="174" xfId="0" applyNumberFormat="1" applyFont="1" applyBorder="1" applyAlignment="1">
      <alignment horizontal="center" vertical="center"/>
    </xf>
    <xf numFmtId="0" fontId="138" fillId="0" borderId="0" xfId="14" applyFont="1" applyAlignment="1">
      <alignment horizontal="right" vertical="center"/>
    </xf>
    <xf numFmtId="0" fontId="183" fillId="15" borderId="50" xfId="14" applyFont="1" applyFill="1" applyBorder="1" applyAlignment="1">
      <alignment vertical="center"/>
    </xf>
    <xf numFmtId="0" fontId="0" fillId="0" borderId="44" xfId="0" applyBorder="1"/>
    <xf numFmtId="164" fontId="170" fillId="0" borderId="51" xfId="0" applyNumberFormat="1" applyFont="1" applyBorder="1" applyAlignment="1">
      <alignment horizontal="center" vertical="center"/>
    </xf>
    <xf numFmtId="169" fontId="170" fillId="0" borderId="200" xfId="0" applyNumberFormat="1" applyFont="1" applyBorder="1" applyAlignment="1">
      <alignment horizontal="center" vertical="center"/>
    </xf>
    <xf numFmtId="169" fontId="170" fillId="0" borderId="207" xfId="0" applyNumberFormat="1" applyFont="1" applyBorder="1" applyAlignment="1">
      <alignment horizontal="center" vertical="center"/>
    </xf>
    <xf numFmtId="0" fontId="137" fillId="0" borderId="179" xfId="14" applyBorder="1" applyAlignment="1">
      <alignment horizontal="center" vertical="center"/>
    </xf>
    <xf numFmtId="0" fontId="174" fillId="0" borderId="173" xfId="14" applyFont="1" applyBorder="1" applyAlignment="1">
      <alignment horizontal="center" vertical="center"/>
    </xf>
    <xf numFmtId="0" fontId="174" fillId="0" borderId="177" xfId="14" applyFont="1" applyBorder="1" applyAlignment="1">
      <alignment horizontal="center" vertical="center"/>
    </xf>
    <xf numFmtId="0" fontId="136" fillId="0" borderId="45" xfId="0" applyFont="1" applyBorder="1" applyAlignment="1">
      <alignment horizontal="left" vertical="center"/>
    </xf>
    <xf numFmtId="0" fontId="136" fillId="0" borderId="46" xfId="0" applyFont="1" applyBorder="1" applyAlignment="1">
      <alignment horizontal="left" vertical="center"/>
    </xf>
    <xf numFmtId="0" fontId="136" fillId="0" borderId="47" xfId="0" applyFont="1" applyBorder="1" applyAlignment="1">
      <alignment horizontal="left" vertical="center"/>
    </xf>
    <xf numFmtId="0" fontId="171" fillId="15" borderId="43" xfId="14" applyFont="1" applyFill="1" applyBorder="1" applyAlignment="1">
      <alignment horizontal="center" vertical="center" wrapText="1"/>
    </xf>
    <xf numFmtId="173" fontId="170" fillId="0" borderId="174" xfId="0" applyNumberFormat="1" applyFont="1" applyBorder="1" applyAlignment="1">
      <alignment horizontal="center" vertical="center"/>
    </xf>
    <xf numFmtId="173" fontId="170" fillId="0" borderId="179" xfId="0" applyNumberFormat="1" applyFont="1" applyBorder="1" applyAlignment="1">
      <alignment horizontal="center" vertical="center"/>
    </xf>
    <xf numFmtId="164" fontId="170" fillId="0" borderId="213" xfId="0" applyNumberFormat="1" applyFont="1" applyBorder="1" applyAlignment="1">
      <alignment horizontal="center" vertical="center"/>
    </xf>
    <xf numFmtId="169" fontId="170" fillId="0" borderId="217" xfId="0" applyNumberFormat="1" applyFont="1" applyBorder="1" applyAlignment="1">
      <alignment horizontal="center" vertical="center"/>
    </xf>
    <xf numFmtId="169" fontId="170" fillId="0" borderId="51" xfId="0" applyNumberFormat="1" applyFont="1" applyBorder="1" applyAlignment="1">
      <alignment horizontal="center" vertical="center"/>
    </xf>
    <xf numFmtId="0" fontId="171" fillId="15" borderId="43" xfId="14" quotePrefix="1" applyFont="1" applyFill="1" applyBorder="1" applyAlignment="1">
      <alignment vertical="center"/>
    </xf>
    <xf numFmtId="0" fontId="171" fillId="15" borderId="43" xfId="14" quotePrefix="1" applyFont="1" applyFill="1" applyBorder="1" applyAlignment="1">
      <alignment horizontal="center" vertical="center"/>
    </xf>
    <xf numFmtId="0" fontId="171" fillId="15" borderId="43" xfId="14" applyFont="1" applyFill="1" applyBorder="1" applyAlignment="1">
      <alignment vertical="center" wrapText="1"/>
    </xf>
    <xf numFmtId="164" fontId="137" fillId="0" borderId="179" xfId="14" applyNumberFormat="1" applyBorder="1" applyAlignment="1">
      <alignment horizontal="center" vertical="center"/>
    </xf>
    <xf numFmtId="164" fontId="180" fillId="0" borderId="169" xfId="0" applyNumberFormat="1" applyFont="1" applyBorder="1" applyAlignment="1">
      <alignment horizontal="center" vertical="center"/>
    </xf>
    <xf numFmtId="164" fontId="180" fillId="0" borderId="180" xfId="0" applyNumberFormat="1" applyFont="1" applyBorder="1" applyAlignment="1">
      <alignment horizontal="center" vertical="center"/>
    </xf>
    <xf numFmtId="0" fontId="183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40" fillId="15" borderId="176" xfId="14" applyFont="1" applyFill="1" applyBorder="1" applyAlignment="1">
      <alignment horizontal="center" vertical="center"/>
    </xf>
    <xf numFmtId="0" fontId="140" fillId="15" borderId="49" xfId="14" applyFont="1" applyFill="1" applyBorder="1" applyAlignment="1">
      <alignment horizontal="center" vertical="center"/>
    </xf>
    <xf numFmtId="0" fontId="140" fillId="15" borderId="50" xfId="14" applyFont="1" applyFill="1" applyBorder="1" applyAlignment="1">
      <alignment horizontal="center" vertical="center"/>
    </xf>
    <xf numFmtId="0" fontId="171" fillId="15" borderId="191" xfId="14" applyFont="1" applyFill="1" applyBorder="1" applyAlignment="1">
      <alignment horizontal="center" vertical="center"/>
    </xf>
    <xf numFmtId="169" fontId="137" fillId="0" borderId="39" xfId="14" applyNumberFormat="1" applyBorder="1" applyAlignment="1">
      <alignment horizontal="left" vertical="center"/>
    </xf>
    <xf numFmtId="169" fontId="137" fillId="0" borderId="173" xfId="14" applyNumberFormat="1" applyBorder="1" applyAlignment="1">
      <alignment horizontal="left" vertical="center"/>
    </xf>
    <xf numFmtId="169" fontId="137" fillId="0" borderId="177" xfId="14" applyNumberFormat="1" applyBorder="1" applyAlignment="1">
      <alignment horizontal="left" vertical="center"/>
    </xf>
    <xf numFmtId="0" fontId="140" fillId="15" borderId="171" xfId="14" applyFont="1" applyFill="1" applyBorder="1" applyAlignment="1">
      <alignment vertical="center"/>
    </xf>
    <xf numFmtId="0" fontId="140" fillId="15" borderId="176" xfId="14" applyFont="1" applyFill="1" applyBorder="1" applyAlignment="1">
      <alignment vertical="center"/>
    </xf>
    <xf numFmtId="169" fontId="170" fillId="0" borderId="219" xfId="0" applyNumberFormat="1" applyFont="1" applyBorder="1" applyAlignment="1">
      <alignment horizontal="center" vertical="center"/>
    </xf>
    <xf numFmtId="0" fontId="183" fillId="15" borderId="49" xfId="14" applyFont="1" applyFill="1" applyBorder="1" applyAlignment="1">
      <alignment vertical="center"/>
    </xf>
    <xf numFmtId="0" fontId="183" fillId="15" borderId="33" xfId="14" applyFont="1" applyFill="1" applyBorder="1" applyAlignment="1">
      <alignment vertical="center"/>
    </xf>
    <xf numFmtId="0" fontId="171" fillId="15" borderId="220" xfId="14" applyFont="1" applyFill="1" applyBorder="1" applyAlignment="1">
      <alignment horizontal="center" vertical="center"/>
    </xf>
    <xf numFmtId="0" fontId="165" fillId="0" borderId="0" xfId="14" applyFont="1" applyAlignment="1">
      <alignment vertical="center"/>
    </xf>
    <xf numFmtId="0" fontId="176" fillId="0" borderId="0" xfId="0" applyFont="1" applyAlignment="1">
      <alignment horizontal="center" vertical="center"/>
    </xf>
    <xf numFmtId="169" fontId="175" fillId="0" borderId="0" xfId="14" applyNumberFormat="1" applyFont="1" applyAlignment="1">
      <alignment vertical="center"/>
    </xf>
    <xf numFmtId="169" fontId="170" fillId="0" borderId="39" xfId="0" applyNumberFormat="1" applyFont="1" applyBorder="1" applyAlignment="1">
      <alignment horizontal="center" vertical="center"/>
    </xf>
    <xf numFmtId="169" fontId="170" fillId="0" borderId="41" xfId="0" applyNumberFormat="1" applyFont="1" applyBorder="1" applyAlignment="1">
      <alignment horizontal="center" vertical="center"/>
    </xf>
    <xf numFmtId="169" fontId="170" fillId="0" borderId="177" xfId="0" applyNumberFormat="1" applyFont="1" applyBorder="1" applyAlignment="1">
      <alignment horizontal="center" vertical="center"/>
    </xf>
    <xf numFmtId="169" fontId="170" fillId="0" borderId="179" xfId="0" applyNumberFormat="1" applyFont="1" applyBorder="1" applyAlignment="1">
      <alignment horizontal="center" vertical="center"/>
    </xf>
    <xf numFmtId="0" fontId="137" fillId="0" borderId="23" xfId="14" applyBorder="1" applyAlignment="1">
      <alignment horizontal="center" vertical="center"/>
    </xf>
    <xf numFmtId="0" fontId="137" fillId="0" borderId="198" xfId="14" applyBorder="1" applyAlignment="1">
      <alignment horizontal="center" vertical="center"/>
    </xf>
    <xf numFmtId="0" fontId="174" fillId="0" borderId="169" xfId="14" applyFont="1" applyBorder="1" applyAlignment="1">
      <alignment horizontal="center" vertical="center"/>
    </xf>
    <xf numFmtId="0" fontId="174" fillId="0" borderId="180" xfId="14" applyFont="1" applyBorder="1" applyAlignment="1">
      <alignment horizontal="center" vertical="center"/>
    </xf>
    <xf numFmtId="164" fontId="170" fillId="0" borderId="202" xfId="0" applyNumberFormat="1" applyFont="1" applyBorder="1" applyAlignment="1">
      <alignment horizontal="center" vertical="center"/>
    </xf>
    <xf numFmtId="0" fontId="140" fillId="15" borderId="180" xfId="14" applyFont="1" applyFill="1" applyBorder="1" applyAlignment="1">
      <alignment horizontal="center" vertical="center"/>
    </xf>
    <xf numFmtId="0" fontId="174" fillId="0" borderId="217" xfId="14" applyFont="1" applyBorder="1" applyAlignment="1">
      <alignment horizontal="center" vertical="center"/>
    </xf>
    <xf numFmtId="0" fontId="137" fillId="0" borderId="17" xfId="14" applyBorder="1" applyAlignment="1">
      <alignment horizontal="center" vertical="center"/>
    </xf>
    <xf numFmtId="169" fontId="137" fillId="0" borderId="163" xfId="14" applyNumberFormat="1" applyBorder="1" applyAlignment="1">
      <alignment horizontal="center" vertical="center"/>
    </xf>
    <xf numFmtId="169" fontId="171" fillId="15" borderId="38" xfId="14" applyNumberFormat="1" applyFont="1" applyFill="1" applyBorder="1" applyAlignment="1">
      <alignment horizontal="center" vertical="center"/>
    </xf>
    <xf numFmtId="164" fontId="137" fillId="0" borderId="24" xfId="14" applyNumberFormat="1" applyBorder="1" applyAlignment="1">
      <alignment horizontal="center" vertical="center"/>
    </xf>
    <xf numFmtId="164" fontId="137" fillId="0" borderId="25" xfId="14" applyNumberFormat="1" applyBorder="1" applyAlignment="1">
      <alignment horizontal="center" vertical="center"/>
    </xf>
    <xf numFmtId="164" fontId="137" fillId="0" borderId="40" xfId="14" applyNumberFormat="1" applyBorder="1" applyAlignment="1">
      <alignment horizontal="center" vertical="center"/>
    </xf>
    <xf numFmtId="164" fontId="137" fillId="0" borderId="41" xfId="14" applyNumberFormat="1" applyBorder="1" applyAlignment="1">
      <alignment horizontal="center" vertical="center"/>
    </xf>
    <xf numFmtId="164" fontId="137" fillId="0" borderId="178" xfId="14" applyNumberFormat="1" applyBorder="1" applyAlignment="1">
      <alignment horizontal="center" vertical="center"/>
    </xf>
    <xf numFmtId="164" fontId="137" fillId="0" borderId="173" xfId="14" applyNumberFormat="1" applyBorder="1" applyAlignment="1">
      <alignment horizontal="center" vertical="center"/>
    </xf>
    <xf numFmtId="164" fontId="137" fillId="0" borderId="174" xfId="14" applyNumberFormat="1" applyBorder="1" applyAlignment="1">
      <alignment horizontal="center" vertical="center"/>
    </xf>
    <xf numFmtId="164" fontId="137" fillId="0" borderId="55" xfId="14" applyNumberFormat="1" applyBorder="1" applyAlignment="1">
      <alignment horizontal="center" vertical="center"/>
    </xf>
    <xf numFmtId="164" fontId="137" fillId="0" borderId="208" xfId="14" applyNumberFormat="1" applyBorder="1" applyAlignment="1">
      <alignment horizontal="center" vertical="center"/>
    </xf>
    <xf numFmtId="164" fontId="137" fillId="0" borderId="39" xfId="14" applyNumberFormat="1" applyBorder="1" applyAlignment="1">
      <alignment horizontal="center" vertical="center"/>
    </xf>
    <xf numFmtId="164" fontId="137" fillId="0" borderId="177" xfId="14" applyNumberFormat="1" applyBorder="1" applyAlignment="1">
      <alignment horizontal="center" vertical="center"/>
    </xf>
    <xf numFmtId="164" fontId="137" fillId="0" borderId="57" xfId="14" applyNumberFormat="1" applyBorder="1" applyAlignment="1">
      <alignment horizontal="center" vertical="center"/>
    </xf>
    <xf numFmtId="164" fontId="137" fillId="0" borderId="27" xfId="14" applyNumberFormat="1" applyBorder="1" applyAlignment="1">
      <alignment horizontal="center" vertical="center"/>
    </xf>
    <xf numFmtId="164" fontId="137" fillId="0" borderId="163" xfId="14" applyNumberFormat="1" applyBorder="1" applyAlignment="1">
      <alignment horizontal="center" vertical="center"/>
    </xf>
    <xf numFmtId="164" fontId="137" fillId="0" borderId="26" xfId="14" applyNumberFormat="1" applyBorder="1" applyAlignment="1">
      <alignment horizontal="center" vertical="center"/>
    </xf>
    <xf numFmtId="164" fontId="137" fillId="0" borderId="56" xfId="14" applyNumberFormat="1" applyBorder="1" applyAlignment="1">
      <alignment horizontal="center" vertical="center"/>
    </xf>
    <xf numFmtId="164" fontId="137" fillId="0" borderId="220" xfId="14" applyNumberFormat="1" applyBorder="1" applyAlignment="1">
      <alignment horizontal="center" vertical="center"/>
    </xf>
    <xf numFmtId="0" fontId="176" fillId="0" borderId="42" xfId="0" applyFont="1" applyBorder="1" applyAlignment="1">
      <alignment horizontal="center" vertical="center"/>
    </xf>
    <xf numFmtId="169" fontId="170" fillId="0" borderId="15" xfId="0" applyNumberFormat="1" applyFont="1" applyBorder="1" applyAlignment="1">
      <alignment horizontal="center" vertical="center"/>
    </xf>
    <xf numFmtId="169" fontId="170" fillId="0" borderId="192" xfId="0" applyNumberFormat="1" applyFont="1" applyBorder="1" applyAlignment="1">
      <alignment horizontal="center" vertical="center"/>
    </xf>
    <xf numFmtId="173" fontId="170" fillId="0" borderId="169" xfId="0" applyNumberFormat="1" applyFont="1" applyBorder="1" applyAlignment="1">
      <alignment horizontal="center" vertical="center"/>
    </xf>
    <xf numFmtId="173" fontId="170" fillId="0" borderId="180" xfId="0" applyNumberFormat="1" applyFont="1" applyBorder="1" applyAlignment="1">
      <alignment horizontal="center" vertical="center"/>
    </xf>
    <xf numFmtId="3" fontId="170" fillId="0" borderId="174" xfId="0" applyNumberFormat="1" applyFont="1" applyBorder="1" applyAlignment="1">
      <alignment horizontal="center" vertical="center"/>
    </xf>
    <xf numFmtId="3" fontId="170" fillId="0" borderId="179" xfId="0" applyNumberFormat="1" applyFont="1" applyBorder="1" applyAlignment="1">
      <alignment horizontal="center" vertical="center"/>
    </xf>
    <xf numFmtId="0" fontId="180" fillId="0" borderId="0" xfId="0" applyFont="1"/>
    <xf numFmtId="0" fontId="180" fillId="0" borderId="45" xfId="0" applyFont="1" applyBorder="1"/>
    <xf numFmtId="0" fontId="180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80" fillId="0" borderId="47" xfId="0" applyFont="1" applyBorder="1"/>
    <xf numFmtId="164" fontId="139" fillId="12" borderId="182" xfId="14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2" fontId="83" fillId="4" borderId="34" xfId="0" applyNumberFormat="1" applyFont="1" applyFill="1" applyBorder="1"/>
    <xf numFmtId="169" fontId="137" fillId="0" borderId="170" xfId="14" applyNumberFormat="1" applyBorder="1" applyAlignment="1">
      <alignment horizontal="center" vertical="center"/>
    </xf>
    <xf numFmtId="169" fontId="137" fillId="0" borderId="182" xfId="14" applyNumberFormat="1" applyBorder="1" applyAlignment="1">
      <alignment horizontal="center" vertical="center"/>
    </xf>
    <xf numFmtId="169" fontId="137" fillId="0" borderId="204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4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4" fillId="0" borderId="0" xfId="14" applyFont="1" applyAlignment="1">
      <alignment vertical="center" wrapText="1"/>
    </xf>
    <xf numFmtId="0" fontId="137" fillId="0" borderId="0" xfId="14" applyAlignment="1">
      <alignment vertical="center" wrapText="1"/>
    </xf>
    <xf numFmtId="0" fontId="172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72" fillId="0" borderId="0" xfId="0" applyFont="1"/>
    <xf numFmtId="169" fontId="140" fillId="15" borderId="21" xfId="14" applyNumberFormat="1" applyFont="1" applyFill="1" applyBorder="1" applyAlignment="1">
      <alignment vertical="center"/>
    </xf>
    <xf numFmtId="14" fontId="140" fillId="15" borderId="22" xfId="14" applyNumberFormat="1" applyFont="1" applyFill="1" applyBorder="1" applyAlignment="1">
      <alignment vertical="center"/>
    </xf>
    <xf numFmtId="182" fontId="83" fillId="15" borderId="198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40" fillId="15" borderId="40" xfId="14" applyNumberFormat="1" applyFont="1" applyFill="1" applyBorder="1" applyAlignment="1">
      <alignment horizontal="center" vertical="center"/>
    </xf>
    <xf numFmtId="0" fontId="2" fillId="15" borderId="221" xfId="8" applyFont="1" applyFill="1" applyBorder="1"/>
    <xf numFmtId="0" fontId="87" fillId="0" borderId="211" xfId="0" applyFont="1" applyBorder="1" applyAlignment="1" applyProtection="1">
      <alignment horizontal="center"/>
      <protection hidden="1"/>
    </xf>
    <xf numFmtId="0" fontId="2" fillId="15" borderId="222" xfId="8" applyFont="1" applyFill="1" applyBorder="1"/>
    <xf numFmtId="164" fontId="80" fillId="13" borderId="223" xfId="6" applyNumberFormat="1" applyBorder="1" applyAlignment="1" applyProtection="1">
      <alignment horizontal="center"/>
      <protection hidden="1"/>
    </xf>
    <xf numFmtId="0" fontId="80" fillId="13" borderId="223" xfId="6" applyBorder="1" applyAlignment="1" applyProtection="1">
      <alignment horizontal="center"/>
      <protection hidden="1"/>
    </xf>
    <xf numFmtId="0" fontId="2" fillId="15" borderId="224" xfId="8" applyFont="1" applyFill="1" applyBorder="1"/>
    <xf numFmtId="0" fontId="80" fillId="13" borderId="225" xfId="6" applyBorder="1" applyAlignment="1" applyProtection="1">
      <alignment horizontal="center"/>
      <protection hidden="1"/>
    </xf>
    <xf numFmtId="0" fontId="2" fillId="15" borderId="226" xfId="8" applyFont="1" applyFill="1" applyBorder="1"/>
    <xf numFmtId="0" fontId="80" fillId="13" borderId="227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9" xfId="0" applyFont="1" applyBorder="1"/>
    <xf numFmtId="164" fontId="82" fillId="14" borderId="228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22" fillId="12" borderId="205" xfId="0" applyFont="1" applyFill="1" applyBorder="1"/>
    <xf numFmtId="0" fontId="122" fillId="12" borderId="203" xfId="0" applyFont="1" applyFill="1" applyBorder="1"/>
    <xf numFmtId="0" fontId="122" fillId="12" borderId="197" xfId="0" applyFont="1" applyFill="1" applyBorder="1"/>
    <xf numFmtId="0" fontId="140" fillId="15" borderId="206" xfId="14" applyFont="1" applyFill="1" applyBorder="1" applyAlignment="1">
      <alignment vertical="center"/>
    </xf>
    <xf numFmtId="0" fontId="140" fillId="15" borderId="195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40" fillId="15" borderId="209" xfId="14" applyFont="1" applyFill="1" applyBorder="1" applyAlignment="1">
      <alignment horizontal="center" vertical="center"/>
    </xf>
    <xf numFmtId="0" fontId="140" fillId="15" borderId="36" xfId="14" applyFont="1" applyFill="1" applyBorder="1" applyAlignment="1">
      <alignment horizontal="center" vertical="center"/>
    </xf>
    <xf numFmtId="0" fontId="2" fillId="15" borderId="229" xfId="8" applyFont="1" applyFill="1" applyBorder="1"/>
    <xf numFmtId="0" fontId="2" fillId="15" borderId="230" xfId="8" applyFont="1" applyFill="1" applyBorder="1"/>
    <xf numFmtId="0" fontId="2" fillId="15" borderId="231" xfId="8" applyFont="1" applyFill="1" applyBorder="1"/>
    <xf numFmtId="164" fontId="80" fillId="13" borderId="227" xfId="6" applyNumberFormat="1" applyBorder="1" applyAlignment="1" applyProtection="1">
      <alignment horizontal="center"/>
      <protection hidden="1"/>
    </xf>
    <xf numFmtId="0" fontId="138" fillId="0" borderId="14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9" fillId="0" borderId="45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20" borderId="14" xfId="2" applyFont="1" applyFill="1" applyBorder="1" applyProtection="1">
      <protection hidden="1"/>
    </xf>
    <xf numFmtId="0" fontId="42" fillId="20" borderId="0" xfId="2" applyFont="1" applyFill="1" applyProtection="1">
      <protection hidden="1"/>
    </xf>
    <xf numFmtId="0" fontId="42" fillId="20" borderId="20" xfId="2" applyFont="1" applyFill="1" applyBorder="1" applyProtection="1">
      <protection hidden="1"/>
    </xf>
    <xf numFmtId="164" fontId="45" fillId="20" borderId="14" xfId="2" applyNumberFormat="1" applyFont="1" applyFill="1" applyBorder="1" applyAlignment="1" applyProtection="1">
      <alignment horizontal="center" vertical="center"/>
      <protection hidden="1"/>
    </xf>
    <xf numFmtId="0" fontId="74" fillId="20" borderId="20" xfId="2" applyFont="1" applyFill="1" applyBorder="1" applyAlignment="1" applyProtection="1">
      <alignment horizontal="center" vertical="center"/>
      <protection hidden="1"/>
    </xf>
    <xf numFmtId="164" fontId="74" fillId="20" borderId="14" xfId="2" applyNumberFormat="1" applyFont="1" applyFill="1" applyBorder="1" applyAlignment="1" applyProtection="1">
      <alignment horizontal="center" vertical="center"/>
      <protection hidden="1"/>
    </xf>
    <xf numFmtId="0" fontId="63" fillId="20" borderId="0" xfId="2" applyFont="1" applyFill="1" applyProtection="1">
      <protection hidden="1"/>
    </xf>
    <xf numFmtId="0" fontId="64" fillId="20" borderId="0" xfId="2" applyFont="1" applyFill="1" applyAlignment="1" applyProtection="1">
      <alignment horizontal="left"/>
      <protection hidden="1"/>
    </xf>
    <xf numFmtId="0" fontId="74" fillId="20" borderId="0" xfId="2" applyFont="1" applyFill="1" applyAlignment="1" applyProtection="1">
      <alignment horizontal="center" vertical="center"/>
      <protection hidden="1"/>
    </xf>
    <xf numFmtId="0" fontId="45" fillId="20" borderId="0" xfId="2" applyFont="1" applyFill="1" applyAlignment="1" applyProtection="1">
      <alignment horizontal="center" vertical="center"/>
      <protection hidden="1"/>
    </xf>
    <xf numFmtId="0" fontId="75" fillId="20" borderId="0" xfId="2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5" fontId="55" fillId="10" borderId="0" xfId="2" applyNumberFormat="1" applyFont="1" applyFill="1" applyAlignment="1" applyProtection="1">
      <alignment horizontal="left" vertical="center"/>
      <protection hidden="1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6" fontId="0" fillId="0" borderId="0" xfId="2" applyNumberFormat="1" applyFont="1" applyAlignment="1">
      <alignment horizontal="center" vertical="center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112" fillId="0" borderId="15" xfId="4" applyNumberFormat="1" applyFont="1" applyBorder="1" applyAlignment="1" applyProtection="1">
      <alignment horizontal="center" vertical="center"/>
      <protection hidden="1"/>
    </xf>
    <xf numFmtId="164" fontId="112" fillId="0" borderId="16" xfId="4" applyNumberFormat="1" applyFont="1" applyBorder="1" applyAlignment="1" applyProtection="1">
      <alignment horizontal="center" vertical="center"/>
      <protection hidden="1"/>
    </xf>
    <xf numFmtId="164" fontId="112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3" fillId="0" borderId="14" xfId="2" applyFont="1" applyBorder="1" applyAlignment="1" applyProtection="1">
      <alignment horizontal="center" vertical="center"/>
      <protection hidden="1"/>
    </xf>
    <xf numFmtId="0" fontId="113" fillId="0" borderId="0" xfId="2" applyFont="1" applyAlignment="1" applyProtection="1">
      <alignment horizontal="center" vertical="center"/>
      <protection hidden="1"/>
    </xf>
    <xf numFmtId="0" fontId="113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20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0" fontId="171" fillId="15" borderId="32" xfId="14" applyFont="1" applyFill="1" applyBorder="1" applyAlignment="1">
      <alignment horizontal="center" vertical="center"/>
    </xf>
    <xf numFmtId="0" fontId="171" fillId="15" borderId="33" xfId="14" applyFont="1" applyFill="1" applyBorder="1" applyAlignment="1">
      <alignment horizontal="center" vertical="center"/>
    </xf>
    <xf numFmtId="0" fontId="171" fillId="15" borderId="34" xfId="14" applyFont="1" applyFill="1" applyBorder="1" applyAlignment="1">
      <alignment horizontal="center" vertical="center"/>
    </xf>
    <xf numFmtId="0" fontId="171" fillId="15" borderId="176" xfId="14" applyFont="1" applyFill="1" applyBorder="1" applyAlignment="1">
      <alignment horizontal="center" vertical="center"/>
    </xf>
    <xf numFmtId="0" fontId="171" fillId="15" borderId="195" xfId="14" applyFont="1" applyFill="1" applyBorder="1" applyAlignment="1">
      <alignment horizontal="center" vertical="center"/>
    </xf>
    <xf numFmtId="0" fontId="171" fillId="15" borderId="204" xfId="14" applyFont="1" applyFill="1" applyBorder="1" applyAlignment="1">
      <alignment horizontal="center" vertical="center"/>
    </xf>
    <xf numFmtId="0" fontId="171" fillId="15" borderId="172" xfId="14" applyFont="1" applyFill="1" applyBorder="1" applyAlignment="1">
      <alignment horizontal="center" vertical="center"/>
    </xf>
    <xf numFmtId="0" fontId="171" fillId="15" borderId="22" xfId="14" applyFont="1" applyFill="1" applyBorder="1" applyAlignment="1">
      <alignment horizontal="center" vertical="center"/>
    </xf>
    <xf numFmtId="0" fontId="171" fillId="15" borderId="182" xfId="14" applyFont="1" applyFill="1" applyBorder="1" applyAlignment="1">
      <alignment horizontal="center" vertical="center"/>
    </xf>
    <xf numFmtId="0" fontId="171" fillId="15" borderId="171" xfId="14" applyFont="1" applyFill="1" applyBorder="1" applyAlignment="1">
      <alignment horizontal="center" vertical="center"/>
    </xf>
    <xf numFmtId="0" fontId="171" fillId="15" borderId="203" xfId="14" applyFont="1" applyFill="1" applyBorder="1" applyAlignment="1">
      <alignment horizontal="center" vertical="center"/>
    </xf>
    <xf numFmtId="0" fontId="171" fillId="15" borderId="202" xfId="14" applyFont="1" applyFill="1" applyBorder="1" applyAlignment="1">
      <alignment horizontal="center" vertical="center"/>
    </xf>
    <xf numFmtId="0" fontId="171" fillId="15" borderId="48" xfId="14" applyFont="1" applyFill="1" applyBorder="1" applyAlignment="1">
      <alignment horizontal="center" vertical="center"/>
    </xf>
    <xf numFmtId="0" fontId="171" fillId="15" borderId="49" xfId="14" applyFont="1" applyFill="1" applyBorder="1" applyAlignment="1">
      <alignment horizontal="center" vertical="center"/>
    </xf>
    <xf numFmtId="0" fontId="171" fillId="15" borderId="50" xfId="14" applyFont="1" applyFill="1" applyBorder="1" applyAlignment="1">
      <alignment horizontal="center" vertical="center"/>
    </xf>
    <xf numFmtId="0" fontId="174" fillId="0" borderId="172" xfId="14" applyFont="1" applyBorder="1" applyAlignment="1">
      <alignment horizontal="center" vertical="center"/>
    </xf>
    <xf numFmtId="0" fontId="174" fillId="0" borderId="23" xfId="14" applyFont="1" applyBorder="1" applyAlignment="1">
      <alignment horizontal="center" vertical="center"/>
    </xf>
    <xf numFmtId="0" fontId="140" fillId="15" borderId="171" xfId="14" applyFont="1" applyFill="1" applyBorder="1" applyAlignment="1">
      <alignment horizontal="center" vertical="center"/>
    </xf>
    <xf numFmtId="0" fontId="140" fillId="15" borderId="197" xfId="14" applyFont="1" applyFill="1" applyBorder="1" applyAlignment="1">
      <alignment horizontal="center" vertical="center"/>
    </xf>
    <xf numFmtId="169" fontId="170" fillId="0" borderId="0" xfId="0" applyNumberFormat="1" applyFont="1" applyAlignment="1">
      <alignment horizontal="center" vertical="center"/>
    </xf>
    <xf numFmtId="0" fontId="140" fillId="15" borderId="48" xfId="14" applyFont="1" applyFill="1" applyBorder="1" applyAlignment="1">
      <alignment horizontal="center" vertical="center"/>
    </xf>
    <xf numFmtId="0" fontId="140" fillId="15" borderId="49" xfId="14" applyFont="1" applyFill="1" applyBorder="1" applyAlignment="1">
      <alignment horizontal="center" vertical="center"/>
    </xf>
    <xf numFmtId="0" fontId="140" fillId="15" borderId="50" xfId="14" applyFont="1" applyFill="1" applyBorder="1" applyAlignment="1">
      <alignment horizontal="center" vertical="center"/>
    </xf>
    <xf numFmtId="0" fontId="140" fillId="15" borderId="205" xfId="14" applyFont="1" applyFill="1" applyBorder="1" applyAlignment="1">
      <alignment horizontal="center" vertical="center"/>
    </xf>
    <xf numFmtId="0" fontId="140" fillId="15" borderId="202" xfId="14" applyFont="1" applyFill="1" applyBorder="1" applyAlignment="1">
      <alignment horizontal="center" vertical="center"/>
    </xf>
    <xf numFmtId="164" fontId="170" fillId="0" borderId="206" xfId="0" applyNumberFormat="1" applyFont="1" applyBorder="1" applyAlignment="1">
      <alignment horizontal="center" vertical="center"/>
    </xf>
    <xf numFmtId="164" fontId="170" fillId="0" borderId="204" xfId="0" applyNumberFormat="1" applyFont="1" applyBorder="1" applyAlignment="1">
      <alignment horizontal="center" vertical="center"/>
    </xf>
    <xf numFmtId="164" fontId="170" fillId="0" borderId="21" xfId="0" applyNumberFormat="1" applyFont="1" applyBorder="1" applyAlignment="1">
      <alignment horizontal="center" vertical="center"/>
    </xf>
    <xf numFmtId="164" fontId="170" fillId="0" borderId="182" xfId="0" applyNumberFormat="1" applyFont="1" applyBorder="1" applyAlignment="1">
      <alignment horizontal="center" vertical="center"/>
    </xf>
    <xf numFmtId="0" fontId="171" fillId="15" borderId="45" xfId="14" applyFont="1" applyFill="1" applyBorder="1" applyAlignment="1">
      <alignment horizontal="center" vertical="center"/>
    </xf>
    <xf numFmtId="0" fontId="171" fillId="15" borderId="46" xfId="14" applyFont="1" applyFill="1" applyBorder="1" applyAlignment="1">
      <alignment horizontal="center" vertical="center"/>
    </xf>
    <xf numFmtId="0" fontId="171" fillId="15" borderId="47" xfId="14" applyFont="1" applyFill="1" applyBorder="1" applyAlignment="1">
      <alignment horizontal="center" vertical="center"/>
    </xf>
    <xf numFmtId="0" fontId="171" fillId="15" borderId="175" xfId="14" applyFont="1" applyFill="1" applyBorder="1" applyAlignment="1">
      <alignment horizontal="center" vertical="center"/>
    </xf>
    <xf numFmtId="0" fontId="171" fillId="15" borderId="13" xfId="14" applyFont="1" applyFill="1" applyBorder="1" applyAlignment="1">
      <alignment horizontal="center" vertical="center"/>
    </xf>
    <xf numFmtId="0" fontId="171" fillId="15" borderId="210" xfId="14" applyFont="1" applyFill="1" applyBorder="1" applyAlignment="1">
      <alignment horizontal="center" vertical="center"/>
    </xf>
    <xf numFmtId="169" fontId="139" fillId="0" borderId="32" xfId="14" applyNumberFormat="1" applyFont="1" applyBorder="1" applyAlignment="1">
      <alignment horizontal="center" vertical="center"/>
    </xf>
    <xf numFmtId="169" fontId="139" fillId="0" borderId="33" xfId="14" applyNumberFormat="1" applyFont="1" applyBorder="1" applyAlignment="1">
      <alignment horizontal="center" vertical="center"/>
    </xf>
    <xf numFmtId="169" fontId="139" fillId="0" borderId="34" xfId="14" applyNumberFormat="1" applyFont="1" applyBorder="1" applyAlignment="1">
      <alignment horizontal="center" vertical="center"/>
    </xf>
    <xf numFmtId="0" fontId="171" fillId="15" borderId="168" xfId="14" applyFont="1" applyFill="1" applyBorder="1" applyAlignment="1">
      <alignment horizontal="center" vertical="center" wrapText="1"/>
    </xf>
    <xf numFmtId="0" fontId="171" fillId="15" borderId="43" xfId="14" applyFont="1" applyFill="1" applyBorder="1" applyAlignment="1">
      <alignment horizontal="center" vertical="center" wrapText="1"/>
    </xf>
    <xf numFmtId="0" fontId="171" fillId="15" borderId="51" xfId="14" applyFont="1" applyFill="1" applyBorder="1" applyAlignment="1">
      <alignment horizontal="center" vertical="center" wrapText="1"/>
    </xf>
    <xf numFmtId="0" fontId="171" fillId="15" borderId="43" xfId="14" applyFont="1" applyFill="1" applyBorder="1" applyAlignment="1">
      <alignment horizontal="center" vertical="center"/>
    </xf>
    <xf numFmtId="0" fontId="171" fillId="15" borderId="181" xfId="14" applyFont="1" applyFill="1" applyBorder="1" applyAlignment="1">
      <alignment horizontal="center" vertical="center"/>
    </xf>
    <xf numFmtId="0" fontId="171" fillId="15" borderId="16" xfId="14" applyFont="1" applyFill="1" applyBorder="1" applyAlignment="1">
      <alignment horizontal="center" vertical="center"/>
    </xf>
    <xf numFmtId="0" fontId="171" fillId="15" borderId="170" xfId="14" applyFont="1" applyFill="1" applyBorder="1" applyAlignment="1">
      <alignment horizontal="center" vertical="center"/>
    </xf>
    <xf numFmtId="0" fontId="140" fillId="15" borderId="176" xfId="14" applyFont="1" applyFill="1" applyBorder="1" applyAlignment="1">
      <alignment horizontal="center" vertical="center"/>
    </xf>
    <xf numFmtId="0" fontId="0" fillId="15" borderId="198" xfId="0" applyFill="1" applyBorder="1" applyAlignment="1">
      <alignment horizontal="center" vertical="center"/>
    </xf>
    <xf numFmtId="0" fontId="139" fillId="0" borderId="0" xfId="14" applyFont="1" applyAlignment="1">
      <alignment horizontal="right" vertical="center"/>
    </xf>
    <xf numFmtId="181" fontId="139" fillId="0" borderId="0" xfId="16" applyNumberFormat="1" applyFont="1" applyAlignment="1">
      <alignment horizontal="right" vertical="center"/>
    </xf>
    <xf numFmtId="0" fontId="144" fillId="15" borderId="48" xfId="14" applyFont="1" applyFill="1" applyBorder="1" applyAlignment="1">
      <alignment horizontal="center" vertical="center"/>
    </xf>
    <xf numFmtId="0" fontId="144" fillId="15" borderId="49" xfId="14" applyFont="1" applyFill="1" applyBorder="1" applyAlignment="1">
      <alignment horizontal="center" vertical="center"/>
    </xf>
    <xf numFmtId="0" fontId="144" fillId="15" borderId="50" xfId="14" applyFont="1" applyFill="1" applyBorder="1" applyAlignment="1">
      <alignment horizontal="center" vertical="center"/>
    </xf>
    <xf numFmtId="0" fontId="144" fillId="15" borderId="45" xfId="14" applyFont="1" applyFill="1" applyBorder="1" applyAlignment="1">
      <alignment horizontal="center" vertical="center"/>
    </xf>
    <xf numFmtId="0" fontId="144" fillId="15" borderId="46" xfId="14" applyFont="1" applyFill="1" applyBorder="1" applyAlignment="1">
      <alignment horizontal="center" vertical="center"/>
    </xf>
    <xf numFmtId="0" fontId="144" fillId="15" borderId="47" xfId="14" applyFont="1" applyFill="1" applyBorder="1" applyAlignment="1">
      <alignment horizontal="center" vertical="center"/>
    </xf>
    <xf numFmtId="0" fontId="0" fillId="15" borderId="197" xfId="0" applyFill="1" applyBorder="1" applyAlignment="1">
      <alignment horizontal="center" vertical="center"/>
    </xf>
    <xf numFmtId="2" fontId="172" fillId="0" borderId="42" xfId="14" applyNumberFormat="1" applyFont="1" applyBorder="1" applyAlignment="1">
      <alignment horizontal="left" vertical="center" wrapText="1"/>
    </xf>
    <xf numFmtId="2" fontId="172" fillId="0" borderId="0" xfId="14" applyNumberFormat="1" applyFont="1" applyAlignment="1">
      <alignment horizontal="left" vertical="center" wrapText="1"/>
    </xf>
    <xf numFmtId="2" fontId="172" fillId="0" borderId="44" xfId="14" applyNumberFormat="1" applyFont="1" applyBorder="1" applyAlignment="1">
      <alignment horizontal="left" vertical="center" wrapText="1"/>
    </xf>
    <xf numFmtId="2" fontId="172" fillId="0" borderId="45" xfId="14" applyNumberFormat="1" applyFont="1" applyBorder="1" applyAlignment="1">
      <alignment horizontal="left" vertical="center" wrapText="1"/>
    </xf>
    <xf numFmtId="2" fontId="172" fillId="0" borderId="46" xfId="14" applyNumberFormat="1" applyFont="1" applyBorder="1" applyAlignment="1">
      <alignment horizontal="left" vertical="center" wrapText="1"/>
    </xf>
    <xf numFmtId="2" fontId="172" fillId="0" borderId="47" xfId="14" applyNumberFormat="1" applyFont="1" applyBorder="1" applyAlignment="1">
      <alignment horizontal="left" vertical="center" wrapText="1"/>
    </xf>
    <xf numFmtId="0" fontId="139" fillId="0" borderId="176" xfId="14" applyFont="1" applyBorder="1" applyAlignment="1">
      <alignment horizontal="center" vertical="center"/>
    </xf>
    <xf numFmtId="0" fontId="139" fillId="0" borderId="198" xfId="14" applyFont="1" applyBorder="1" applyAlignment="1">
      <alignment horizontal="center" vertical="center"/>
    </xf>
    <xf numFmtId="0" fontId="172" fillId="0" borderId="175" xfId="14" applyFont="1" applyBorder="1" applyAlignment="1">
      <alignment horizontal="center" vertical="center" wrapText="1"/>
    </xf>
    <xf numFmtId="0" fontId="172" fillId="0" borderId="13" xfId="14" applyFont="1" applyBorder="1" applyAlignment="1">
      <alignment horizontal="center" vertical="center" wrapText="1"/>
    </xf>
    <xf numFmtId="0" fontId="172" fillId="0" borderId="44" xfId="14" applyFont="1" applyBorder="1" applyAlignment="1">
      <alignment horizontal="center" vertical="center" wrapText="1"/>
    </xf>
    <xf numFmtId="0" fontId="172" fillId="0" borderId="42" xfId="14" applyFont="1" applyBorder="1" applyAlignment="1">
      <alignment horizontal="center" vertical="center" wrapText="1"/>
    </xf>
    <xf numFmtId="0" fontId="172" fillId="0" borderId="0" xfId="14" applyFont="1" applyAlignment="1">
      <alignment horizontal="center" vertical="center" wrapText="1"/>
    </xf>
    <xf numFmtId="0" fontId="172" fillId="0" borderId="45" xfId="14" applyFont="1" applyBorder="1" applyAlignment="1">
      <alignment horizontal="center" vertical="center" wrapText="1"/>
    </xf>
    <xf numFmtId="0" fontId="172" fillId="0" borderId="46" xfId="14" applyFont="1" applyBorder="1" applyAlignment="1">
      <alignment horizontal="center" vertical="center" wrapText="1"/>
    </xf>
    <xf numFmtId="0" fontId="172" fillId="0" borderId="47" xfId="14" applyFont="1" applyBorder="1" applyAlignment="1">
      <alignment horizontal="center" vertical="center" wrapText="1"/>
    </xf>
    <xf numFmtId="0" fontId="172" fillId="0" borderId="48" xfId="14" applyFont="1" applyBorder="1" applyAlignment="1">
      <alignment horizontal="left" vertical="center" wrapText="1"/>
    </xf>
    <xf numFmtId="0" fontId="172" fillId="0" borderId="49" xfId="14" applyFont="1" applyBorder="1" applyAlignment="1">
      <alignment horizontal="left" vertical="center" wrapText="1"/>
    </xf>
    <xf numFmtId="0" fontId="172" fillId="0" borderId="50" xfId="14" applyFont="1" applyBorder="1" applyAlignment="1">
      <alignment horizontal="left" vertical="center" wrapText="1"/>
    </xf>
    <xf numFmtId="0" fontId="172" fillId="0" borderId="42" xfId="14" applyFont="1" applyBorder="1" applyAlignment="1">
      <alignment horizontal="left" vertical="center" wrapText="1"/>
    </xf>
    <xf numFmtId="0" fontId="172" fillId="0" borderId="0" xfId="14" applyFont="1" applyAlignment="1">
      <alignment horizontal="left" vertical="center" wrapText="1"/>
    </xf>
    <xf numFmtId="0" fontId="172" fillId="0" borderId="44" xfId="14" applyFont="1" applyBorder="1" applyAlignment="1">
      <alignment horizontal="left" vertical="center" wrapText="1"/>
    </xf>
    <xf numFmtId="0" fontId="174" fillId="0" borderId="176" xfId="14" applyFont="1" applyBorder="1" applyAlignment="1">
      <alignment horizontal="center" vertical="center"/>
    </xf>
    <xf numFmtId="0" fontId="174" fillId="0" borderId="198" xfId="14" applyFont="1" applyBorder="1" applyAlignment="1">
      <alignment horizontal="center" vertical="center"/>
    </xf>
    <xf numFmtId="0" fontId="171" fillId="15" borderId="168" xfId="14" applyFont="1" applyFill="1" applyBorder="1" applyAlignment="1">
      <alignment horizontal="center" vertical="center"/>
    </xf>
    <xf numFmtId="0" fontId="171" fillId="15" borderId="51" xfId="14" applyFont="1" applyFill="1" applyBorder="1" applyAlignment="1">
      <alignment horizontal="center" vertical="center"/>
    </xf>
    <xf numFmtId="0" fontId="171" fillId="15" borderId="42" xfId="14" applyFont="1" applyFill="1" applyBorder="1" applyAlignment="1">
      <alignment horizontal="center" vertical="center" wrapText="1"/>
    </xf>
    <xf numFmtId="0" fontId="171" fillId="15" borderId="42" xfId="14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166" fontId="22" fillId="0" borderId="49" xfId="1" applyNumberFormat="1" applyFont="1" applyFill="1" applyBorder="1" applyAlignment="1">
      <alignment horizontal="left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40" fillId="15" borderId="203" xfId="14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0" fontId="174" fillId="0" borderId="42" xfId="14" applyFont="1" applyBorder="1" applyAlignment="1">
      <alignment horizontal="left" vertical="center" wrapText="1"/>
    </xf>
    <xf numFmtId="0" fontId="174" fillId="0" borderId="0" xfId="14" applyFont="1" applyAlignment="1">
      <alignment horizontal="left" vertical="center" wrapText="1"/>
    </xf>
    <xf numFmtId="0" fontId="174" fillId="0" borderId="44" xfId="14" applyFont="1" applyBorder="1" applyAlignment="1">
      <alignment horizontal="left" vertical="center" wrapText="1"/>
    </xf>
    <xf numFmtId="0" fontId="174" fillId="0" borderId="45" xfId="14" applyFont="1" applyBorder="1" applyAlignment="1">
      <alignment horizontal="left" vertical="center" wrapText="1"/>
    </xf>
    <xf numFmtId="0" fontId="174" fillId="0" borderId="46" xfId="14" applyFont="1" applyBorder="1" applyAlignment="1">
      <alignment horizontal="left" vertical="center" wrapText="1"/>
    </xf>
    <xf numFmtId="0" fontId="174" fillId="0" borderId="47" xfId="14" applyFont="1" applyBorder="1" applyAlignment="1">
      <alignment horizontal="left" vertical="center" wrapText="1"/>
    </xf>
    <xf numFmtId="169" fontId="137" fillId="0" borderId="40" xfId="14" applyNumberFormat="1" applyBorder="1" applyAlignment="1">
      <alignment horizontal="left" vertical="center"/>
    </xf>
    <xf numFmtId="169" fontId="137" fillId="0" borderId="41" xfId="14" applyNumberFormat="1" applyBorder="1" applyAlignment="1">
      <alignment horizontal="left" vertical="center"/>
    </xf>
    <xf numFmtId="169" fontId="137" fillId="0" borderId="178" xfId="14" applyNumberFormat="1" applyBorder="1" applyAlignment="1">
      <alignment horizontal="left" vertical="center"/>
    </xf>
    <xf numFmtId="169" fontId="137" fillId="0" borderId="179" xfId="14" applyNumberFormat="1" applyBorder="1" applyAlignment="1">
      <alignment horizontal="left" vertical="center"/>
    </xf>
    <xf numFmtId="169" fontId="137" fillId="0" borderId="24" xfId="14" applyNumberFormat="1" applyBorder="1" applyAlignment="1">
      <alignment horizontal="left" vertical="center"/>
    </xf>
    <xf numFmtId="169" fontId="137" fillId="0" borderId="174" xfId="14" applyNumberFormat="1" applyBorder="1" applyAlignment="1">
      <alignment horizontal="left" vertical="center"/>
    </xf>
    <xf numFmtId="0" fontId="174" fillId="0" borderId="48" xfId="14" applyFont="1" applyBorder="1" applyAlignment="1">
      <alignment horizontal="left" vertical="center" wrapText="1"/>
    </xf>
    <xf numFmtId="0" fontId="174" fillId="0" borderId="49" xfId="14" applyFont="1" applyBorder="1" applyAlignment="1">
      <alignment horizontal="left" vertical="center" wrapText="1"/>
    </xf>
    <xf numFmtId="0" fontId="174" fillId="0" borderId="50" xfId="14" applyFont="1" applyBorder="1" applyAlignment="1">
      <alignment horizontal="left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42" fillId="0" borderId="0" xfId="0" applyFont="1" applyAlignment="1">
      <alignment horizontal="left" vertical="center"/>
    </xf>
    <xf numFmtId="0" fontId="171" fillId="15" borderId="44" xfId="14" applyFont="1" applyFill="1" applyBorder="1" applyAlignment="1">
      <alignment horizontal="center" vertical="center"/>
    </xf>
    <xf numFmtId="0" fontId="171" fillId="15" borderId="42" xfId="0" applyFont="1" applyFill="1" applyBorder="1" applyAlignment="1">
      <alignment horizontal="center" vertical="center"/>
    </xf>
    <xf numFmtId="0" fontId="171" fillId="15" borderId="44" xfId="0" applyFont="1" applyFill="1" applyBorder="1" applyAlignment="1">
      <alignment horizontal="center" vertical="center"/>
    </xf>
    <xf numFmtId="0" fontId="171" fillId="15" borderId="48" xfId="0" applyFont="1" applyFill="1" applyBorder="1" applyAlignment="1">
      <alignment horizontal="center" vertical="center"/>
    </xf>
    <xf numFmtId="0" fontId="171" fillId="15" borderId="50" xfId="0" applyFont="1" applyFill="1" applyBorder="1" applyAlignment="1">
      <alignment horizontal="center" vertical="center"/>
    </xf>
    <xf numFmtId="0" fontId="171" fillId="15" borderId="45" xfId="0" applyFont="1" applyFill="1" applyBorder="1" applyAlignment="1">
      <alignment horizontal="center" vertical="center"/>
    </xf>
    <xf numFmtId="0" fontId="171" fillId="15" borderId="47" xfId="0" applyFont="1" applyFill="1" applyBorder="1" applyAlignment="1">
      <alignment horizontal="center" vertical="center"/>
    </xf>
    <xf numFmtId="0" fontId="171" fillId="15" borderId="172" xfId="0" applyFont="1" applyFill="1" applyBorder="1" applyAlignment="1">
      <alignment horizontal="center" vertical="center"/>
    </xf>
    <xf numFmtId="0" fontId="171" fillId="15" borderId="182" xfId="0" applyFont="1" applyFill="1" applyBorder="1" applyAlignment="1">
      <alignment horizontal="center" vertical="center"/>
    </xf>
    <xf numFmtId="0" fontId="171" fillId="15" borderId="171" xfId="0" applyFont="1" applyFill="1" applyBorder="1" applyAlignment="1">
      <alignment horizontal="center" vertical="center"/>
    </xf>
    <xf numFmtId="0" fontId="171" fillId="15" borderId="202" xfId="0" applyFont="1" applyFill="1" applyBorder="1" applyAlignment="1">
      <alignment horizontal="center" vertical="center"/>
    </xf>
    <xf numFmtId="0" fontId="171" fillId="15" borderId="195" xfId="14" applyFont="1" applyFill="1" applyBorder="1" applyAlignment="1">
      <alignment horizontal="center" vertical="center" wrapText="1"/>
    </xf>
    <xf numFmtId="0" fontId="171" fillId="15" borderId="204" xfId="14" applyFont="1" applyFill="1" applyBorder="1" applyAlignment="1">
      <alignment horizontal="center" vertical="center" wrapText="1"/>
    </xf>
    <xf numFmtId="0" fontId="140" fillId="15" borderId="181" xfId="14" applyFont="1" applyFill="1" applyBorder="1" applyAlignment="1">
      <alignment horizontal="center" vertical="center"/>
    </xf>
    <xf numFmtId="0" fontId="140" fillId="15" borderId="191" xfId="14" applyFont="1" applyFill="1" applyBorder="1" applyAlignment="1">
      <alignment horizontal="center" vertical="center"/>
    </xf>
    <xf numFmtId="164" fontId="180" fillId="12" borderId="172" xfId="0" applyNumberFormat="1" applyFont="1" applyFill="1" applyBorder="1" applyAlignment="1">
      <alignment horizontal="center" vertical="center"/>
    </xf>
    <xf numFmtId="164" fontId="180" fillId="12" borderId="22" xfId="0" applyNumberFormat="1" applyFont="1" applyFill="1" applyBorder="1" applyAlignment="1">
      <alignment horizontal="center" vertical="center"/>
    </xf>
    <xf numFmtId="164" fontId="170" fillId="0" borderId="175" xfId="0" applyNumberFormat="1" applyFont="1" applyBorder="1" applyAlignment="1">
      <alignment horizontal="center" vertical="center"/>
    </xf>
    <xf numFmtId="164" fontId="170" fillId="0" borderId="13" xfId="0" applyNumberFormat="1" applyFont="1" applyBorder="1" applyAlignment="1">
      <alignment horizontal="center" vertical="center"/>
    </xf>
    <xf numFmtId="164" fontId="170" fillId="0" borderId="210" xfId="0" applyNumberFormat="1" applyFont="1" applyBorder="1" applyAlignment="1">
      <alignment horizontal="center" vertical="center"/>
    </xf>
    <xf numFmtId="164" fontId="170" fillId="0" borderId="45" xfId="0" applyNumberFormat="1" applyFont="1" applyBorder="1" applyAlignment="1">
      <alignment horizontal="center" vertical="center"/>
    </xf>
    <xf numFmtId="164" fontId="170" fillId="0" borderId="46" xfId="0" applyNumberFormat="1" applyFont="1" applyBorder="1" applyAlignment="1">
      <alignment horizontal="center" vertical="center"/>
    </xf>
    <xf numFmtId="164" fontId="170" fillId="0" borderId="47" xfId="0" applyNumberFormat="1" applyFont="1" applyBorder="1" applyAlignment="1">
      <alignment horizontal="center" vertical="center"/>
    </xf>
    <xf numFmtId="0" fontId="140" fillId="15" borderId="199" xfId="14" applyFont="1" applyFill="1" applyBorder="1" applyAlignment="1">
      <alignment horizontal="center" vertical="center"/>
    </xf>
    <xf numFmtId="0" fontId="140" fillId="15" borderId="200" xfId="14" applyFont="1" applyFill="1" applyBorder="1" applyAlignment="1">
      <alignment horizontal="center" vertical="center"/>
    </xf>
    <xf numFmtId="0" fontId="171" fillId="15" borderId="176" xfId="0" applyFont="1" applyFill="1" applyBorder="1" applyAlignment="1">
      <alignment horizontal="center" vertical="center"/>
    </xf>
    <xf numFmtId="0" fontId="171" fillId="15" borderId="204" xfId="0" applyFont="1" applyFill="1" applyBorder="1" applyAlignment="1">
      <alignment horizontal="center" vertical="center"/>
    </xf>
    <xf numFmtId="0" fontId="171" fillId="15" borderId="32" xfId="0" applyFont="1" applyFill="1" applyBorder="1" applyAlignment="1">
      <alignment horizontal="center" vertical="center"/>
    </xf>
    <xf numFmtId="0" fontId="171" fillId="15" borderId="34" xfId="0" applyFont="1" applyFill="1" applyBorder="1" applyAlignment="1">
      <alignment horizontal="center" vertical="center"/>
    </xf>
    <xf numFmtId="0" fontId="171" fillId="15" borderId="209" xfId="0" applyFont="1" applyFill="1" applyBorder="1" applyAlignment="1">
      <alignment horizontal="center" vertical="center"/>
    </xf>
    <xf numFmtId="0" fontId="172" fillId="0" borderId="210" xfId="14" applyFont="1" applyBorder="1" applyAlignment="1">
      <alignment horizontal="center" vertical="center" wrapText="1"/>
    </xf>
    <xf numFmtId="181" fontId="139" fillId="0" borderId="49" xfId="16" applyNumberFormat="1" applyFont="1" applyBorder="1" applyAlignment="1">
      <alignment horizontal="right" vertical="center"/>
    </xf>
    <xf numFmtId="49" fontId="170" fillId="0" borderId="206" xfId="0" applyNumberFormat="1" applyFont="1" applyBorder="1" applyAlignment="1">
      <alignment horizontal="center" vertical="center"/>
    </xf>
    <xf numFmtId="49" fontId="170" fillId="0" borderId="204" xfId="0" applyNumberFormat="1" applyFont="1" applyBorder="1" applyAlignment="1">
      <alignment horizontal="center" vertical="center"/>
    </xf>
    <xf numFmtId="0" fontId="140" fillId="15" borderId="198" xfId="14" applyFont="1" applyFill="1" applyBorder="1" applyAlignment="1">
      <alignment horizontal="center" vertical="center"/>
    </xf>
    <xf numFmtId="0" fontId="140" fillId="15" borderId="172" xfId="14" applyFont="1" applyFill="1" applyBorder="1" applyAlignment="1">
      <alignment horizontal="center" vertical="center"/>
    </xf>
    <xf numFmtId="0" fontId="140" fillId="15" borderId="23" xfId="14" applyFont="1" applyFill="1" applyBorder="1" applyAlignment="1">
      <alignment horizontal="center" vertical="center"/>
    </xf>
    <xf numFmtId="0" fontId="139" fillId="0" borderId="49" xfId="14" applyFont="1" applyBorder="1" applyAlignment="1">
      <alignment horizontal="right" vertical="center"/>
    </xf>
    <xf numFmtId="0" fontId="61" fillId="0" borderId="156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>
      <alignment horizontal="center" vertical="center"/>
    </xf>
    <xf numFmtId="0" fontId="110" fillId="0" borderId="25" xfId="0" applyFont="1" applyBorder="1" applyAlignment="1" applyProtection="1">
      <alignment horizontal="center" vertical="center"/>
      <protection hidden="1"/>
    </xf>
    <xf numFmtId="0" fontId="110" fillId="0" borderId="26" xfId="0" applyFont="1" applyBorder="1" applyAlignment="1" applyProtection="1">
      <alignment horizontal="center" vertical="center"/>
      <protection hidden="1"/>
    </xf>
    <xf numFmtId="0" fontId="110" fillId="0" borderId="27" xfId="0" applyFont="1" applyBorder="1" applyAlignment="1" applyProtection="1">
      <alignment horizontal="center" vertical="center"/>
      <protection hidden="1"/>
    </xf>
    <xf numFmtId="2" fontId="108" fillId="0" borderId="25" xfId="0" applyNumberFormat="1" applyFont="1" applyBorder="1" applyAlignment="1" applyProtection="1">
      <alignment horizontal="center" vertical="center" wrapText="1"/>
      <protection hidden="1"/>
    </xf>
    <xf numFmtId="2" fontId="108" fillId="0" borderId="26" xfId="0" applyNumberFormat="1" applyFont="1" applyBorder="1" applyAlignment="1" applyProtection="1">
      <alignment horizontal="center" vertical="center" wrapText="1"/>
      <protection hidden="1"/>
    </xf>
    <xf numFmtId="2" fontId="108" fillId="0" borderId="27" xfId="0" applyNumberFormat="1" applyFont="1" applyBorder="1" applyAlignment="1" applyProtection="1">
      <alignment horizontal="center" vertical="center" wrapText="1"/>
      <protection hidden="1"/>
    </xf>
    <xf numFmtId="2" fontId="108" fillId="0" borderId="25" xfId="0" quotePrefix="1" applyNumberFormat="1" applyFont="1" applyBorder="1" applyAlignment="1" applyProtection="1">
      <alignment horizontal="center" vertical="center"/>
      <protection hidden="1"/>
    </xf>
    <xf numFmtId="2" fontId="108" fillId="0" borderId="27" xfId="0" quotePrefix="1" applyNumberFormat="1" applyFont="1" applyBorder="1" applyAlignment="1" applyProtection="1">
      <alignment horizontal="center" vertical="center"/>
      <protection hidden="1"/>
    </xf>
    <xf numFmtId="2" fontId="108" fillId="0" borderId="25" xfId="0" applyNumberFormat="1" applyFont="1" applyBorder="1" applyAlignment="1" applyProtection="1">
      <alignment horizontal="center" vertical="center"/>
      <protection hidden="1"/>
    </xf>
    <xf numFmtId="2" fontId="108" fillId="0" borderId="26" xfId="0" applyNumberFormat="1" applyFont="1" applyBorder="1" applyAlignment="1" applyProtection="1">
      <alignment horizontal="center" vertical="center"/>
      <protection hidden="1"/>
    </xf>
    <xf numFmtId="2" fontId="108" fillId="0" borderId="27" xfId="0" applyNumberFormat="1" applyFont="1" applyBorder="1" applyAlignment="1" applyProtection="1">
      <alignment horizontal="center" vertical="center"/>
      <protection hidden="1"/>
    </xf>
    <xf numFmtId="0" fontId="111" fillId="0" borderId="21" xfId="0" applyFont="1" applyBorder="1" applyAlignment="1">
      <alignment horizontal="center" vertical="center"/>
    </xf>
    <xf numFmtId="0" fontId="111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36" fillId="0" borderId="42" xfId="0" applyFont="1" applyBorder="1" applyAlignment="1">
      <alignment horizontal="left" vertical="center" wrapText="1"/>
    </xf>
    <xf numFmtId="0" fontId="136" fillId="0" borderId="0" xfId="0" applyFont="1" applyAlignment="1">
      <alignment horizontal="left" vertical="center" wrapText="1"/>
    </xf>
    <xf numFmtId="0" fontId="136" fillId="0" borderId="44" xfId="0" applyFont="1" applyBorder="1" applyAlignment="1">
      <alignment horizontal="left" vertical="center" wrapText="1"/>
    </xf>
    <xf numFmtId="0" fontId="140" fillId="15" borderId="32" xfId="14" applyFont="1" applyFill="1" applyBorder="1" applyAlignment="1">
      <alignment horizontal="center" vertical="center"/>
    </xf>
    <xf numFmtId="0" fontId="140" fillId="15" borderId="33" xfId="14" applyFont="1" applyFill="1" applyBorder="1" applyAlignment="1">
      <alignment horizontal="center" vertical="center"/>
    </xf>
    <xf numFmtId="0" fontId="140" fillId="15" borderId="34" xfId="14" applyFont="1" applyFill="1" applyBorder="1" applyAlignment="1">
      <alignment horizontal="center" vertical="center"/>
    </xf>
    <xf numFmtId="0" fontId="136" fillId="0" borderId="42" xfId="0" applyFont="1" applyBorder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36" fillId="0" borderId="44" xfId="0" applyFont="1" applyBorder="1" applyAlignment="1">
      <alignment horizontal="left" vertical="top"/>
    </xf>
    <xf numFmtId="0" fontId="136" fillId="0" borderId="42" xfId="0" applyFont="1" applyBorder="1" applyAlignment="1">
      <alignment horizontal="left" vertical="center"/>
    </xf>
    <xf numFmtId="0" fontId="136" fillId="0" borderId="0" xfId="0" applyFont="1" applyAlignment="1">
      <alignment horizontal="left" vertical="center"/>
    </xf>
    <xf numFmtId="0" fontId="136" fillId="0" borderId="4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36" fillId="0" borderId="48" xfId="0" applyFont="1" applyBorder="1" applyAlignment="1">
      <alignment horizontal="left" vertical="top"/>
    </xf>
    <xf numFmtId="0" fontId="136" fillId="0" borderId="49" xfId="0" applyFont="1" applyBorder="1" applyAlignment="1">
      <alignment horizontal="left" vertical="top"/>
    </xf>
    <xf numFmtId="0" fontId="136" fillId="0" borderId="50" xfId="0" applyFont="1" applyBorder="1" applyAlignment="1">
      <alignment horizontal="left" vertical="top"/>
    </xf>
    <xf numFmtId="0" fontId="136" fillId="0" borderId="45" xfId="0" applyFont="1" applyBorder="1" applyAlignment="1">
      <alignment horizontal="left" vertical="center"/>
    </xf>
    <xf numFmtId="0" fontId="136" fillId="0" borderId="46" xfId="0" applyFont="1" applyBorder="1" applyAlignment="1">
      <alignment horizontal="left" vertical="center"/>
    </xf>
    <xf numFmtId="0" fontId="136" fillId="0" borderId="47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6" fillId="0" borderId="42" xfId="0" applyFont="1" applyBorder="1" applyAlignment="1">
      <alignment horizontal="center"/>
    </xf>
    <xf numFmtId="0" fontId="116" fillId="0" borderId="44" xfId="0" applyFont="1" applyBorder="1" applyAlignment="1">
      <alignment horizontal="center"/>
    </xf>
    <xf numFmtId="0" fontId="116" fillId="0" borderId="45" xfId="0" applyFont="1" applyBorder="1" applyAlignment="1">
      <alignment horizontal="center"/>
    </xf>
    <xf numFmtId="0" fontId="116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7" fillId="0" borderId="168" xfId="0" applyFont="1" applyBorder="1" applyAlignment="1">
      <alignment horizontal="center" vertical="center"/>
    </xf>
    <xf numFmtId="0" fontId="117" fillId="0" borderId="43" xfId="0" applyFont="1" applyBorder="1" applyAlignment="1">
      <alignment horizontal="center" vertical="center"/>
    </xf>
    <xf numFmtId="0" fontId="117" fillId="0" borderId="51" xfId="0" applyFont="1" applyBorder="1" applyAlignment="1">
      <alignment horizontal="center" vertical="center"/>
    </xf>
    <xf numFmtId="0" fontId="117" fillId="0" borderId="42" xfId="0" applyFont="1" applyBorder="1" applyAlignment="1">
      <alignment horizontal="center" vertical="center"/>
    </xf>
    <xf numFmtId="0" fontId="117" fillId="0" borderId="44" xfId="0" applyFont="1" applyBorder="1" applyAlignment="1">
      <alignment horizontal="center" vertical="center"/>
    </xf>
    <xf numFmtId="0" fontId="117" fillId="0" borderId="32" xfId="0" applyFont="1" applyBorder="1" applyAlignment="1">
      <alignment horizontal="center"/>
    </xf>
    <xf numFmtId="0" fontId="117" fillId="0" borderId="34" xfId="0" applyFont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34" xfId="0" applyFont="1" applyBorder="1" applyAlignment="1">
      <alignment horizontal="center"/>
    </xf>
    <xf numFmtId="0" fontId="117" fillId="0" borderId="45" xfId="0" applyFont="1" applyBorder="1" applyAlignment="1">
      <alignment horizontal="center" vertical="center"/>
    </xf>
    <xf numFmtId="0" fontId="117" fillId="0" borderId="47" xfId="0" applyFont="1" applyBorder="1" applyAlignment="1">
      <alignment horizontal="center" vertical="center"/>
    </xf>
    <xf numFmtId="0" fontId="170" fillId="0" borderId="197" xfId="0" applyFont="1" applyBorder="1" applyAlignment="1">
      <alignment horizontal="center"/>
    </xf>
    <xf numFmtId="0" fontId="170" fillId="0" borderId="40" xfId="0" applyFont="1" applyBorder="1" applyAlignment="1">
      <alignment horizontal="center"/>
    </xf>
    <xf numFmtId="0" fontId="170" fillId="0" borderId="23" xfId="0" applyFont="1" applyBorder="1" applyAlignment="1">
      <alignment horizontal="center"/>
    </xf>
    <xf numFmtId="0" fontId="170" fillId="0" borderId="24" xfId="0" applyFont="1" applyBorder="1" applyAlignment="1">
      <alignment horizontal="center"/>
    </xf>
    <xf numFmtId="0" fontId="170" fillId="0" borderId="3" xfId="0" applyFont="1" applyBorder="1" applyAlignment="1">
      <alignment horizontal="center"/>
    </xf>
    <xf numFmtId="0" fontId="170" fillId="0" borderId="25" xfId="0" applyFont="1" applyBorder="1" applyAlignment="1">
      <alignment horizontal="center"/>
    </xf>
    <xf numFmtId="0" fontId="170" fillId="0" borderId="32" xfId="0" applyFont="1" applyBorder="1" applyAlignment="1">
      <alignment horizontal="center"/>
    </xf>
    <xf numFmtId="0" fontId="170" fillId="0" borderId="212" xfId="0" applyFont="1" applyBorder="1" applyAlignment="1">
      <alignment horizontal="center"/>
    </xf>
    <xf numFmtId="0" fontId="170" fillId="0" borderId="17" xfId="0" applyFont="1" applyBorder="1" applyAlignment="1">
      <alignment horizontal="center"/>
    </xf>
    <xf numFmtId="0" fontId="170" fillId="0" borderId="27" xfId="0" applyFont="1" applyBorder="1" applyAlignment="1">
      <alignment horizontal="center"/>
    </xf>
    <xf numFmtId="9" fontId="170" fillId="19" borderId="178" xfId="1" applyFont="1" applyFill="1" applyBorder="1" applyAlignment="1">
      <alignment horizontal="center" vertical="center"/>
    </xf>
    <xf numFmtId="9" fontId="170" fillId="19" borderId="179" xfId="1" applyFont="1" applyFill="1" applyBorder="1" applyAlignment="1">
      <alignment horizontal="center" vertical="center"/>
    </xf>
    <xf numFmtId="0" fontId="170" fillId="19" borderId="27" xfId="0" applyFont="1" applyFill="1" applyBorder="1" applyAlignment="1">
      <alignment horizontal="center" vertical="center"/>
    </xf>
    <xf numFmtId="0" fontId="170" fillId="19" borderId="163" xfId="0" applyFont="1" applyFill="1" applyBorder="1" applyAlignment="1">
      <alignment horizontal="center" vertical="center"/>
    </xf>
    <xf numFmtId="0" fontId="170" fillId="19" borderId="33" xfId="0" applyFont="1" applyFill="1" applyBorder="1" applyAlignment="1">
      <alignment horizontal="center"/>
    </xf>
    <xf numFmtId="0" fontId="170" fillId="19" borderId="34" xfId="0" applyFont="1" applyFill="1" applyBorder="1" applyAlignment="1">
      <alignment horizontal="center"/>
    </xf>
    <xf numFmtId="3" fontId="170" fillId="19" borderId="25" xfId="0" applyNumberFormat="1" applyFont="1" applyFill="1" applyBorder="1" applyAlignment="1">
      <alignment horizontal="center" vertical="center"/>
    </xf>
    <xf numFmtId="3" fontId="170" fillId="19" borderId="208" xfId="0" applyNumberFormat="1" applyFont="1" applyFill="1" applyBorder="1" applyAlignment="1">
      <alignment horizontal="center" vertical="center"/>
    </xf>
    <xf numFmtId="0" fontId="180" fillId="0" borderId="42" xfId="0" applyFont="1" applyBorder="1" applyAlignment="1">
      <alignment horizontal="center" vertical="center"/>
    </xf>
    <xf numFmtId="0" fontId="180" fillId="0" borderId="44" xfId="0" applyFont="1" applyBorder="1" applyAlignment="1">
      <alignment horizontal="center" vertical="center"/>
    </xf>
    <xf numFmtId="0" fontId="180" fillId="0" borderId="45" xfId="0" applyFont="1" applyBorder="1" applyAlignment="1">
      <alignment horizontal="center" vertical="center"/>
    </xf>
    <xf numFmtId="0" fontId="180" fillId="0" borderId="47" xfId="0" applyFont="1" applyBorder="1" applyAlignment="1">
      <alignment horizontal="center" vertical="center"/>
    </xf>
    <xf numFmtId="0" fontId="170" fillId="0" borderId="198" xfId="0" applyFont="1" applyBorder="1" applyAlignment="1">
      <alignment horizontal="center"/>
    </xf>
    <xf numFmtId="0" fontId="170" fillId="0" borderId="178" xfId="0" applyFont="1" applyBorder="1" applyAlignment="1">
      <alignment horizontal="center"/>
    </xf>
    <xf numFmtId="0" fontId="180" fillId="0" borderId="48" xfId="0" applyFont="1" applyBorder="1" applyAlignment="1">
      <alignment horizontal="center" vertical="center"/>
    </xf>
    <xf numFmtId="0" fontId="180" fillId="0" borderId="50" xfId="0" applyFont="1" applyBorder="1" applyAlignment="1">
      <alignment horizontal="center" vertical="center"/>
    </xf>
    <xf numFmtId="0" fontId="180" fillId="0" borderId="32" xfId="0" applyFont="1" applyBorder="1" applyAlignment="1">
      <alignment horizontal="center"/>
    </xf>
    <xf numFmtId="0" fontId="180" fillId="0" borderId="34" xfId="0" applyFont="1" applyBorder="1" applyAlignment="1">
      <alignment horizontal="center"/>
    </xf>
    <xf numFmtId="164" fontId="170" fillId="0" borderId="181" xfId="0" applyNumberFormat="1" applyFont="1" applyBorder="1" applyAlignment="1">
      <alignment horizontal="left" vertical="center"/>
    </xf>
    <xf numFmtId="164" fontId="170" fillId="0" borderId="16" xfId="0" applyNumberFormat="1" applyFont="1" applyBorder="1" applyAlignment="1">
      <alignment horizontal="left" vertical="center"/>
    </xf>
    <xf numFmtId="164" fontId="170" fillId="0" borderId="170" xfId="0" applyNumberFormat="1" applyFont="1" applyBorder="1" applyAlignment="1">
      <alignment horizontal="left" vertical="center"/>
    </xf>
    <xf numFmtId="164" fontId="170" fillId="0" borderId="45" xfId="0" applyNumberFormat="1" applyFont="1" applyBorder="1" applyAlignment="1">
      <alignment horizontal="left" vertical="center"/>
    </xf>
    <xf numFmtId="164" fontId="170" fillId="0" borderId="46" xfId="0" applyNumberFormat="1" applyFont="1" applyBorder="1" applyAlignment="1">
      <alignment horizontal="left" vertical="center"/>
    </xf>
    <xf numFmtId="164" fontId="170" fillId="0" borderId="47" xfId="0" applyNumberFormat="1" applyFont="1" applyBorder="1" applyAlignment="1">
      <alignment horizontal="left" vertical="center"/>
    </xf>
    <xf numFmtId="3" fontId="170" fillId="19" borderId="40" xfId="0" applyNumberFormat="1" applyFont="1" applyFill="1" applyBorder="1" applyAlignment="1">
      <alignment horizontal="center" vertical="center"/>
    </xf>
    <xf numFmtId="3" fontId="170" fillId="19" borderId="41" xfId="0" applyNumberFormat="1" applyFont="1" applyFill="1" applyBorder="1" applyAlignment="1">
      <alignment horizontal="center" vertical="center"/>
    </xf>
    <xf numFmtId="3" fontId="170" fillId="19" borderId="24" xfId="0" applyNumberFormat="1" applyFont="1" applyFill="1" applyBorder="1" applyAlignment="1">
      <alignment horizontal="center" vertical="center"/>
    </xf>
    <xf numFmtId="3" fontId="170" fillId="19" borderId="174" xfId="0" applyNumberFormat="1" applyFont="1" applyFill="1" applyBorder="1" applyAlignment="1">
      <alignment horizontal="center" vertical="center"/>
    </xf>
    <xf numFmtId="164" fontId="60" fillId="11" borderId="188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5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9" fillId="20" borderId="48" xfId="2" applyNumberFormat="1" applyFont="1" applyFill="1" applyBorder="1" applyAlignment="1" applyProtection="1">
      <alignment horizontal="center" vertical="center"/>
      <protection hidden="1"/>
    </xf>
    <xf numFmtId="164" fontId="129" fillId="20" borderId="49" xfId="2" applyNumberFormat="1" applyFont="1" applyFill="1" applyBorder="1" applyAlignment="1" applyProtection="1">
      <alignment horizontal="center" vertical="center"/>
      <protection hidden="1"/>
    </xf>
    <xf numFmtId="164" fontId="129" fillId="20" borderId="50" xfId="2" applyNumberFormat="1" applyFont="1" applyFill="1" applyBorder="1" applyAlignment="1" applyProtection="1">
      <alignment horizontal="center" vertical="center"/>
      <protection hidden="1"/>
    </xf>
    <xf numFmtId="164" fontId="129" fillId="20" borderId="42" xfId="2" applyNumberFormat="1" applyFont="1" applyFill="1" applyBorder="1" applyAlignment="1" applyProtection="1">
      <alignment horizontal="center" vertical="center"/>
      <protection hidden="1"/>
    </xf>
    <xf numFmtId="164" fontId="129" fillId="20" borderId="0" xfId="2" applyNumberFormat="1" applyFont="1" applyFill="1" applyAlignment="1" applyProtection="1">
      <alignment horizontal="center" vertical="center"/>
      <protection hidden="1"/>
    </xf>
    <xf numFmtId="164" fontId="129" fillId="20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166" fontId="22" fillId="0" borderId="0" xfId="1" applyNumberFormat="1" applyFont="1" applyFill="1" applyBorder="1" applyAlignment="1">
      <alignment horizontal="left"/>
    </xf>
    <xf numFmtId="166" fontId="22" fillId="0" borderId="44" xfId="1" applyNumberFormat="1" applyFont="1" applyFill="1" applyBorder="1" applyAlignment="1">
      <alignment horizontal="left"/>
    </xf>
    <xf numFmtId="0" fontId="22" fillId="0" borderId="4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71" fillId="15" borderId="21" xfId="14" applyFont="1" applyFill="1" applyBorder="1" applyAlignment="1">
      <alignment horizontal="center" vertical="center"/>
    </xf>
    <xf numFmtId="0" fontId="7" fillId="0" borderId="16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30" fillId="9" borderId="199" xfId="0" applyFont="1" applyFill="1" applyBorder="1" applyAlignment="1">
      <alignment horizontal="center" vertical="center" wrapText="1"/>
    </xf>
    <xf numFmtId="0" fontId="130" fillId="9" borderId="200" xfId="0" applyFont="1" applyFill="1" applyBorder="1" applyAlignment="1">
      <alignment horizontal="center" vertical="center" wrapText="1"/>
    </xf>
    <xf numFmtId="0" fontId="7" fillId="0" borderId="199" xfId="0" applyFont="1" applyBorder="1" applyAlignment="1">
      <alignment horizontal="center" vertical="center"/>
    </xf>
    <xf numFmtId="0" fontId="7" fillId="0" borderId="200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0" fontId="130" fillId="9" borderId="199" xfId="0" applyFont="1" applyFill="1" applyBorder="1" applyAlignment="1">
      <alignment horizontal="center" vertical="center"/>
    </xf>
    <xf numFmtId="0" fontId="130" fillId="9" borderId="56" xfId="0" applyFont="1" applyFill="1" applyBorder="1" applyAlignment="1">
      <alignment horizontal="center" vertical="center"/>
    </xf>
    <xf numFmtId="0" fontId="130" fillId="9" borderId="200" xfId="0" applyFont="1" applyFill="1" applyBorder="1" applyAlignment="1">
      <alignment horizontal="center" vertical="center"/>
    </xf>
    <xf numFmtId="0" fontId="135" fillId="2" borderId="32" xfId="0" applyFont="1" applyFill="1" applyBorder="1" applyAlignment="1">
      <alignment horizontal="center" vertical="center"/>
    </xf>
    <xf numFmtId="0" fontId="135" fillId="2" borderId="33" xfId="0" applyFont="1" applyFill="1" applyBorder="1" applyAlignment="1">
      <alignment horizontal="center" vertical="center"/>
    </xf>
    <xf numFmtId="0" fontId="135" fillId="2" borderId="34" xfId="0" applyFont="1" applyFill="1" applyBorder="1" applyAlignment="1">
      <alignment horizontal="center" vertical="center"/>
    </xf>
    <xf numFmtId="169" fontId="139" fillId="0" borderId="42" xfId="14" applyNumberFormat="1" applyFont="1" applyBorder="1" applyAlignment="1">
      <alignment horizontal="center" vertical="center"/>
    </xf>
    <xf numFmtId="169" fontId="139" fillId="0" borderId="44" xfId="14" applyNumberFormat="1" applyFont="1" applyBorder="1" applyAlignment="1">
      <alignment horizontal="center" vertical="center"/>
    </xf>
    <xf numFmtId="0" fontId="171" fillId="15" borderId="0" xfId="14" applyFont="1" applyFill="1" applyAlignment="1">
      <alignment horizontal="center" vertical="center"/>
    </xf>
    <xf numFmtId="169" fontId="139" fillId="0" borderId="48" xfId="14" applyNumberFormat="1" applyFont="1" applyBorder="1" applyAlignment="1">
      <alignment horizontal="center" vertical="center"/>
    </xf>
    <xf numFmtId="169" fontId="139" fillId="0" borderId="49" xfId="14" applyNumberFormat="1" applyFont="1" applyBorder="1" applyAlignment="1">
      <alignment horizontal="center" vertical="center"/>
    </xf>
    <xf numFmtId="169" fontId="139" fillId="0" borderId="50" xfId="14" applyNumberFormat="1" applyFont="1" applyBorder="1" applyAlignment="1">
      <alignment horizontal="center" vertical="center"/>
    </xf>
    <xf numFmtId="0" fontId="111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17" borderId="32" xfId="0" applyFont="1" applyFill="1" applyBorder="1" applyAlignment="1">
      <alignment horizontal="center"/>
    </xf>
    <xf numFmtId="0" fontId="4" fillId="17" borderId="33" xfId="0" applyFont="1" applyFill="1" applyBorder="1" applyAlignment="1">
      <alignment horizontal="center"/>
    </xf>
    <xf numFmtId="0" fontId="4" fillId="17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8" xfId="0" applyFont="1" applyFill="1" applyBorder="1" applyAlignment="1">
      <alignment horizontal="center"/>
    </xf>
    <xf numFmtId="169" fontId="139" fillId="0" borderId="45" xfId="14" applyNumberFormat="1" applyFont="1" applyBorder="1" applyAlignment="1">
      <alignment horizontal="center" vertical="center"/>
    </xf>
    <xf numFmtId="169" fontId="139" fillId="0" borderId="46" xfId="14" applyNumberFormat="1" applyFont="1" applyBorder="1" applyAlignment="1">
      <alignment horizontal="center" vertical="center"/>
    </xf>
    <xf numFmtId="0" fontId="174" fillId="0" borderId="42" xfId="14" applyFont="1" applyBorder="1" applyAlignment="1">
      <alignment horizontal="left" vertical="center"/>
    </xf>
    <xf numFmtId="0" fontId="174" fillId="0" borderId="0" xfId="14" applyFont="1" applyAlignment="1">
      <alignment horizontal="left" vertical="center"/>
    </xf>
    <xf numFmtId="0" fontId="174" fillId="0" borderId="44" xfId="14" applyFont="1" applyBorder="1" applyAlignment="1">
      <alignment horizontal="left" vertical="center"/>
    </xf>
    <xf numFmtId="0" fontId="180" fillId="0" borderId="42" xfId="0" applyFont="1" applyBorder="1" applyAlignment="1">
      <alignment horizontal="left"/>
    </xf>
    <xf numFmtId="0" fontId="180" fillId="0" borderId="0" xfId="0" applyFont="1" applyAlignment="1">
      <alignment horizontal="left"/>
    </xf>
    <xf numFmtId="0" fontId="180" fillId="0" borderId="44" xfId="0" applyFont="1" applyBorder="1" applyAlignment="1">
      <alignment horizontal="left"/>
    </xf>
    <xf numFmtId="0" fontId="180" fillId="0" borderId="48" xfId="0" applyFont="1" applyBorder="1" applyAlignment="1">
      <alignment horizontal="left"/>
    </xf>
    <xf numFmtId="0" fontId="180" fillId="0" borderId="49" xfId="0" applyFont="1" applyBorder="1" applyAlignment="1">
      <alignment horizontal="left"/>
    </xf>
    <xf numFmtId="0" fontId="180" fillId="0" borderId="50" xfId="0" applyFont="1" applyBorder="1" applyAlignment="1">
      <alignment horizontal="left"/>
    </xf>
    <xf numFmtId="0" fontId="140" fillId="15" borderId="0" xfId="0" applyFont="1" applyFill="1" applyAlignment="1">
      <alignment horizontal="left" vertical="center"/>
    </xf>
    <xf numFmtId="0" fontId="165" fillId="15" borderId="0" xfId="0" applyFont="1" applyFill="1" applyAlignment="1">
      <alignment horizontal="left" vertical="center"/>
    </xf>
    <xf numFmtId="0" fontId="140" fillId="15" borderId="0" xfId="14" applyFont="1" applyFill="1" applyAlignment="1">
      <alignment horizontal="left" vertical="center"/>
    </xf>
    <xf numFmtId="0" fontId="150" fillId="15" borderId="42" xfId="14" applyFont="1" applyFill="1" applyBorder="1" applyAlignment="1">
      <alignment horizontal="center" vertical="center"/>
    </xf>
    <xf numFmtId="0" fontId="150" fillId="15" borderId="0" xfId="14" applyFont="1" applyFill="1" applyAlignment="1">
      <alignment horizontal="center" vertical="center"/>
    </xf>
    <xf numFmtId="0" fontId="150" fillId="15" borderId="44" xfId="14" applyFont="1" applyFill="1" applyBorder="1" applyAlignment="1">
      <alignment horizontal="center" vertical="center"/>
    </xf>
    <xf numFmtId="0" fontId="150" fillId="15" borderId="45" xfId="14" applyFont="1" applyFill="1" applyBorder="1" applyAlignment="1">
      <alignment horizontal="center" vertical="center"/>
    </xf>
    <xf numFmtId="0" fontId="150" fillId="15" borderId="46" xfId="14" applyFont="1" applyFill="1" applyBorder="1" applyAlignment="1">
      <alignment horizontal="center" vertical="center"/>
    </xf>
    <xf numFmtId="0" fontId="150" fillId="15" borderId="47" xfId="14" applyFont="1" applyFill="1" applyBorder="1" applyAlignment="1">
      <alignment horizontal="center" vertical="center"/>
    </xf>
    <xf numFmtId="0" fontId="145" fillId="0" borderId="0" xfId="14" applyFont="1" applyAlignment="1">
      <alignment horizontal="center" vertical="center"/>
    </xf>
    <xf numFmtId="0" fontId="143" fillId="0" borderId="0" xfId="14" applyFont="1" applyAlignment="1">
      <alignment horizontal="center" vertical="center"/>
    </xf>
    <xf numFmtId="0" fontId="143" fillId="0" borderId="44" xfId="14" applyFont="1" applyBorder="1" applyAlignment="1">
      <alignment horizontal="center" vertical="center"/>
    </xf>
    <xf numFmtId="0" fontId="150" fillId="15" borderId="48" xfId="14" applyFont="1" applyFill="1" applyBorder="1" applyAlignment="1">
      <alignment horizontal="center" vertical="center"/>
    </xf>
    <xf numFmtId="0" fontId="150" fillId="15" borderId="49" xfId="14" applyFont="1" applyFill="1" applyBorder="1" applyAlignment="1">
      <alignment horizontal="center" vertical="center"/>
    </xf>
    <xf numFmtId="0" fontId="150" fillId="15" borderId="50" xfId="14" applyFont="1" applyFill="1" applyBorder="1" applyAlignment="1">
      <alignment horizontal="center" vertical="center"/>
    </xf>
    <xf numFmtId="0" fontId="150" fillId="15" borderId="32" xfId="14" applyFont="1" applyFill="1" applyBorder="1" applyAlignment="1">
      <alignment horizontal="center" vertical="center"/>
    </xf>
    <xf numFmtId="0" fontId="150" fillId="15" borderId="33" xfId="14" applyFont="1" applyFill="1" applyBorder="1" applyAlignment="1">
      <alignment horizontal="center" vertical="center"/>
    </xf>
    <xf numFmtId="0" fontId="150" fillId="15" borderId="34" xfId="14" applyFont="1" applyFill="1" applyBorder="1" applyAlignment="1">
      <alignment horizontal="center" vertical="center"/>
    </xf>
    <xf numFmtId="0" fontId="158" fillId="0" borderId="42" xfId="0" applyFont="1" applyBorder="1" applyAlignment="1">
      <alignment horizontal="center" vertical="center"/>
    </xf>
    <xf numFmtId="0" fontId="158" fillId="0" borderId="0" xfId="0" applyFont="1" applyAlignment="1">
      <alignment horizontal="center" vertical="center"/>
    </xf>
    <xf numFmtId="170" fontId="158" fillId="0" borderId="0" xfId="0" applyNumberFormat="1" applyFont="1" applyAlignment="1">
      <alignment horizontal="center" vertical="center"/>
    </xf>
    <xf numFmtId="170" fontId="158" fillId="0" borderId="44" xfId="0" applyNumberFormat="1" applyFont="1" applyBorder="1" applyAlignment="1">
      <alignment horizontal="center" vertical="center"/>
    </xf>
    <xf numFmtId="0" fontId="140" fillId="15" borderId="0" xfId="14" applyFont="1" applyFill="1" applyAlignment="1">
      <alignment horizontal="right" vertical="center"/>
    </xf>
    <xf numFmtId="181" fontId="140" fillId="15" borderId="0" xfId="16" applyNumberFormat="1" applyFont="1" applyFill="1" applyAlignment="1">
      <alignment horizontal="right" vertical="center"/>
    </xf>
    <xf numFmtId="0" fontId="169" fillId="15" borderId="0" xfId="14" applyFont="1" applyFill="1" applyAlignment="1">
      <alignment horizontal="right" vertical="center"/>
    </xf>
    <xf numFmtId="0" fontId="143" fillId="0" borderId="48" xfId="14" applyFont="1" applyBorder="1" applyAlignment="1">
      <alignment horizontal="center" vertical="center"/>
    </xf>
    <xf numFmtId="0" fontId="143" fillId="0" borderId="49" xfId="14" applyFont="1" applyBorder="1" applyAlignment="1">
      <alignment horizontal="center" vertical="center"/>
    </xf>
    <xf numFmtId="6" fontId="143" fillId="0" borderId="0" xfId="14" applyNumberFormat="1" applyFont="1" applyAlignment="1">
      <alignment horizontal="center" vertical="center"/>
    </xf>
    <xf numFmtId="6" fontId="143" fillId="0" borderId="44" xfId="14" applyNumberFormat="1" applyFont="1" applyBorder="1" applyAlignment="1">
      <alignment horizontal="center" vertical="center"/>
    </xf>
    <xf numFmtId="0" fontId="159" fillId="0" borderId="48" xfId="4" applyFont="1" applyFill="1" applyBorder="1" applyAlignment="1">
      <alignment horizontal="center" vertical="center"/>
    </xf>
    <xf numFmtId="0" fontId="159" fillId="0" borderId="49" xfId="4" applyFont="1" applyFill="1" applyBorder="1" applyAlignment="1">
      <alignment horizontal="center" vertical="center"/>
    </xf>
    <xf numFmtId="0" fontId="159" fillId="0" borderId="50" xfId="4" applyFont="1" applyFill="1" applyBorder="1" applyAlignment="1">
      <alignment horizontal="center" vertical="center"/>
    </xf>
    <xf numFmtId="0" fontId="160" fillId="0" borderId="48" xfId="4" applyFont="1" applyFill="1" applyBorder="1" applyAlignment="1">
      <alignment horizontal="center" vertical="center" wrapText="1"/>
    </xf>
    <xf numFmtId="0" fontId="160" fillId="0" borderId="49" xfId="4" applyFont="1" applyFill="1" applyBorder="1" applyAlignment="1">
      <alignment horizontal="center" vertical="center" wrapText="1"/>
    </xf>
    <xf numFmtId="0" fontId="160" fillId="0" borderId="50" xfId="4" applyFont="1" applyFill="1" applyBorder="1" applyAlignment="1">
      <alignment horizontal="center" vertical="center" wrapText="1"/>
    </xf>
    <xf numFmtId="0" fontId="160" fillId="0" borderId="42" xfId="4" applyFont="1" applyFill="1" applyBorder="1" applyAlignment="1">
      <alignment horizontal="center" vertical="center" wrapText="1"/>
    </xf>
    <xf numFmtId="0" fontId="160" fillId="0" borderId="0" xfId="4" applyFont="1" applyFill="1" applyBorder="1" applyAlignment="1">
      <alignment horizontal="center" vertical="center" wrapText="1"/>
    </xf>
    <xf numFmtId="0" fontId="160" fillId="0" borderId="44" xfId="4" applyFont="1" applyFill="1" applyBorder="1" applyAlignment="1">
      <alignment horizontal="center" vertical="center" wrapText="1"/>
    </xf>
    <xf numFmtId="0" fontId="160" fillId="0" borderId="45" xfId="4" applyFont="1" applyFill="1" applyBorder="1" applyAlignment="1">
      <alignment horizontal="center" vertical="center" wrapText="1"/>
    </xf>
    <xf numFmtId="0" fontId="160" fillId="0" borderId="46" xfId="4" applyFont="1" applyFill="1" applyBorder="1" applyAlignment="1">
      <alignment horizontal="center" vertical="center" wrapText="1"/>
    </xf>
    <xf numFmtId="0" fontId="160" fillId="0" borderId="47" xfId="4" applyFont="1" applyFill="1" applyBorder="1" applyAlignment="1">
      <alignment horizontal="center" vertical="center" wrapText="1"/>
    </xf>
    <xf numFmtId="0" fontId="143" fillId="0" borderId="42" xfId="14" applyFont="1" applyBorder="1" applyAlignment="1">
      <alignment horizontal="center" vertical="center"/>
    </xf>
    <xf numFmtId="164" fontId="143" fillId="0" borderId="0" xfId="14" applyNumberFormat="1" applyFont="1" applyAlignment="1">
      <alignment horizontal="center" vertical="center"/>
    </xf>
    <xf numFmtId="0" fontId="157" fillId="0" borderId="42" xfId="14" applyFont="1" applyBorder="1" applyAlignment="1">
      <alignment horizontal="center" vertical="center"/>
    </xf>
    <xf numFmtId="0" fontId="157" fillId="0" borderId="0" xfId="14" applyFont="1" applyAlignment="1">
      <alignment horizontal="center" vertical="center"/>
    </xf>
    <xf numFmtId="0" fontId="157" fillId="0" borderId="44" xfId="14" applyFont="1" applyBorder="1" applyAlignment="1">
      <alignment horizontal="center" vertical="center"/>
    </xf>
    <xf numFmtId="0" fontId="156" fillId="0" borderId="42" xfId="14" applyFont="1" applyBorder="1" applyAlignment="1">
      <alignment horizontal="center" vertical="center"/>
    </xf>
    <xf numFmtId="0" fontId="156" fillId="0" borderId="0" xfId="14" applyFont="1" applyAlignment="1">
      <alignment horizontal="center" vertical="center"/>
    </xf>
    <xf numFmtId="0" fontId="156" fillId="0" borderId="44" xfId="14" applyFont="1" applyBorder="1" applyAlignment="1">
      <alignment horizontal="center" vertical="center"/>
    </xf>
    <xf numFmtId="0" fontId="155" fillId="0" borderId="42" xfId="4" applyFont="1" applyBorder="1" applyAlignment="1">
      <alignment horizontal="center" vertical="center"/>
    </xf>
    <xf numFmtId="0" fontId="155" fillId="0" borderId="0" xfId="4" applyFont="1" applyAlignment="1">
      <alignment horizontal="center" vertical="center"/>
    </xf>
    <xf numFmtId="0" fontId="155" fillId="0" borderId="44" xfId="4" applyFont="1" applyBorder="1" applyAlignment="1">
      <alignment horizontal="center" vertical="center"/>
    </xf>
    <xf numFmtId="0" fontId="152" fillId="0" borderId="42" xfId="0" applyFont="1" applyBorder="1" applyAlignment="1">
      <alignment horizontal="center" vertical="center"/>
    </xf>
    <xf numFmtId="0" fontId="152" fillId="0" borderId="0" xfId="0" applyFont="1" applyAlignment="1">
      <alignment horizontal="center" vertical="center"/>
    </xf>
    <xf numFmtId="0" fontId="152" fillId="0" borderId="44" xfId="0" applyFont="1" applyBorder="1" applyAlignment="1">
      <alignment horizontal="center" vertical="center"/>
    </xf>
    <xf numFmtId="0" fontId="143" fillId="0" borderId="50" xfId="14" applyFont="1" applyBorder="1" applyAlignment="1">
      <alignment horizontal="center" vertical="center"/>
    </xf>
    <xf numFmtId="0" fontId="143" fillId="0" borderId="45" xfId="14" applyFont="1" applyBorder="1" applyAlignment="1">
      <alignment horizontal="center" vertical="center"/>
    </xf>
    <xf numFmtId="0" fontId="143" fillId="0" borderId="46" xfId="14" applyFont="1" applyBorder="1" applyAlignment="1">
      <alignment horizontal="center" vertical="center"/>
    </xf>
    <xf numFmtId="0" fontId="143" fillId="0" borderId="47" xfId="14" applyFont="1" applyBorder="1" applyAlignment="1">
      <alignment horizontal="center" vertical="center"/>
    </xf>
    <xf numFmtId="0" fontId="136" fillId="0" borderId="49" xfId="0" applyFont="1" applyBorder="1" applyAlignment="1">
      <alignment horizontal="center" vertical="center" wrapText="1"/>
    </xf>
    <xf numFmtId="0" fontId="136" fillId="0" borderId="0" xfId="0" applyFont="1" applyAlignment="1">
      <alignment horizontal="center" vertical="center" wrapText="1"/>
    </xf>
    <xf numFmtId="0" fontId="136" fillId="0" borderId="46" xfId="0" applyFont="1" applyBorder="1" applyAlignment="1">
      <alignment horizontal="center" vertical="center" wrapText="1"/>
    </xf>
    <xf numFmtId="0" fontId="145" fillId="0" borderId="45" xfId="14" applyFont="1" applyBorder="1" applyAlignment="1">
      <alignment horizontal="center" vertical="center"/>
    </xf>
    <xf numFmtId="0" fontId="145" fillId="0" borderId="46" xfId="14" applyFont="1" applyBorder="1" applyAlignment="1">
      <alignment horizontal="center" vertical="center"/>
    </xf>
    <xf numFmtId="0" fontId="145" fillId="0" borderId="47" xfId="14" applyFont="1" applyBorder="1" applyAlignment="1">
      <alignment horizontal="center" vertical="center"/>
    </xf>
    <xf numFmtId="0" fontId="163" fillId="0" borderId="42" xfId="14" applyFont="1" applyBorder="1" applyAlignment="1">
      <alignment horizontal="center"/>
    </xf>
    <xf numFmtId="0" fontId="163" fillId="0" borderId="0" xfId="14" applyFont="1" applyAlignment="1">
      <alignment horizontal="center"/>
    </xf>
    <xf numFmtId="0" fontId="163" fillId="0" borderId="44" xfId="14" applyFont="1" applyBorder="1" applyAlignment="1">
      <alignment horizontal="center"/>
    </xf>
    <xf numFmtId="0" fontId="179" fillId="0" borderId="42" xfId="14" applyFont="1" applyBorder="1" applyAlignment="1">
      <alignment horizontal="center" vertical="center"/>
    </xf>
    <xf numFmtId="0" fontId="179" fillId="0" borderId="0" xfId="14" applyFont="1" applyAlignment="1">
      <alignment horizontal="center" vertical="center"/>
    </xf>
    <xf numFmtId="0" fontId="179" fillId="0" borderId="44" xfId="14" applyFont="1" applyBorder="1" applyAlignment="1">
      <alignment horizontal="center" vertical="center"/>
    </xf>
    <xf numFmtId="0" fontId="178" fillId="0" borderId="42" xfId="14" applyFont="1" applyBorder="1" applyAlignment="1">
      <alignment horizontal="center" vertical="center"/>
    </xf>
    <xf numFmtId="0" fontId="178" fillId="0" borderId="0" xfId="14" applyFont="1" applyAlignment="1">
      <alignment horizontal="center" vertical="center"/>
    </xf>
    <xf numFmtId="0" fontId="178" fillId="0" borderId="44" xfId="14" applyFont="1" applyBorder="1" applyAlignment="1">
      <alignment horizontal="center" vertical="center"/>
    </xf>
    <xf numFmtId="0" fontId="143" fillId="0" borderId="48" xfId="14" applyFont="1" applyBorder="1" applyAlignment="1">
      <alignment horizontal="right" vertical="center"/>
    </xf>
    <xf numFmtId="0" fontId="143" fillId="0" borderId="49" xfId="14" applyFont="1" applyBorder="1" applyAlignment="1">
      <alignment horizontal="right" vertical="center"/>
    </xf>
    <xf numFmtId="6" fontId="143" fillId="0" borderId="0" xfId="14" applyNumberFormat="1" applyFont="1" applyAlignment="1">
      <alignment horizontal="left" vertical="center"/>
    </xf>
    <xf numFmtId="6" fontId="143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5" xfId="0" applyFont="1" applyFill="1" applyBorder="1" applyAlignment="1">
      <alignment horizontal="center" vertical="center"/>
    </xf>
    <xf numFmtId="0" fontId="117" fillId="0" borderId="168" xfId="0" applyFont="1" applyBorder="1" applyAlignment="1">
      <alignment horizontal="center" vertical="center" wrapText="1"/>
    </xf>
    <xf numFmtId="0" fontId="117" fillId="0" borderId="43" xfId="0" applyFont="1" applyBorder="1" applyAlignment="1">
      <alignment horizontal="center" vertical="center" wrapText="1"/>
    </xf>
    <xf numFmtId="0" fontId="117" fillId="0" borderId="51" xfId="0" applyFont="1" applyBorder="1" applyAlignment="1">
      <alignment horizontal="center" vertical="center" wrapText="1"/>
    </xf>
    <xf numFmtId="0" fontId="124" fillId="9" borderId="168" xfId="0" applyFont="1" applyFill="1" applyBorder="1" applyAlignment="1">
      <alignment horizontal="center" vertical="center"/>
    </xf>
    <xf numFmtId="0" fontId="124" fillId="9" borderId="51" xfId="0" applyFont="1" applyFill="1" applyBorder="1" applyAlignment="1">
      <alignment horizontal="center" vertical="center"/>
    </xf>
    <xf numFmtId="0" fontId="124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1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0</xdr:rowOff>
    </xdr:from>
    <xdr:to>
      <xdr:col>14</xdr:col>
      <xdr:colOff>122998</xdr:colOff>
      <xdr:row>71</xdr:row>
      <xdr:rowOff>9189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0</xdr:rowOff>
    </xdr:from>
    <xdr:to>
      <xdr:col>14</xdr:col>
      <xdr:colOff>122998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22" zoomScaleNormal="130" workbookViewId="0">
      <selection activeCell="S58" sqref="S58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2"/>
      <c r="B2" s="1643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342"/>
      <c r="P2" s="343"/>
    </row>
    <row r="3" spans="1:16" ht="9.9499999999999993" customHeight="1">
      <c r="A3" s="1645"/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6"/>
      <c r="D6" s="1646"/>
      <c r="E6" s="1646"/>
      <c r="F6" s="1646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7"/>
      <c r="D7" s="1647"/>
      <c r="E7" s="1647"/>
      <c r="F7" s="1647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8"/>
      <c r="D8" s="1648"/>
      <c r="E8" s="1648"/>
      <c r="F8" s="1648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9" t="s">
        <v>361</v>
      </c>
      <c r="G9" s="1649"/>
      <c r="H9" s="1650">
        <v>45978</v>
      </c>
      <c r="I9" s="1650"/>
      <c r="J9" s="1650"/>
      <c r="K9" s="1650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1"/>
      <c r="D10" s="1651"/>
      <c r="E10" s="1651"/>
      <c r="F10" s="1651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2" t="s">
        <v>369</v>
      </c>
      <c r="C12" s="1652"/>
      <c r="D12" s="1652"/>
      <c r="E12" s="1652"/>
      <c r="F12" s="1652"/>
      <c r="G12" s="1652"/>
      <c r="H12" s="1652"/>
      <c r="I12" s="1652"/>
      <c r="J12" s="1652"/>
      <c r="K12" s="1652"/>
      <c r="L12" s="1652"/>
      <c r="M12" s="1652"/>
      <c r="N12" s="1652"/>
      <c r="O12" s="1652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3" t="s">
        <v>173</v>
      </c>
      <c r="C14" s="1654"/>
      <c r="D14" s="1654"/>
      <c r="E14" s="1654"/>
      <c r="F14" s="1654"/>
      <c r="G14" s="1655"/>
      <c r="H14" s="368"/>
      <c r="I14" s="1653" t="s">
        <v>174</v>
      </c>
      <c r="J14" s="1654"/>
      <c r="K14" s="1654"/>
      <c r="L14" s="1654"/>
      <c r="M14" s="1654"/>
      <c r="N14" s="1654"/>
      <c r="O14" s="1655"/>
      <c r="P14" s="369"/>
    </row>
    <row r="15" spans="1:16" ht="9.9499999999999993" customHeight="1">
      <c r="A15" s="367"/>
      <c r="B15" s="1656"/>
      <c r="C15" s="1657"/>
      <c r="D15" s="1657"/>
      <c r="E15" s="1657"/>
      <c r="F15" s="1657"/>
      <c r="G15" s="1658"/>
      <c r="H15" s="368"/>
      <c r="I15" s="1656"/>
      <c r="J15" s="1657"/>
      <c r="K15" s="1657"/>
      <c r="L15" s="1657"/>
      <c r="M15" s="1657"/>
      <c r="N15" s="1657"/>
      <c r="O15" s="1658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9" t="s">
        <v>284</v>
      </c>
      <c r="K16" s="1660"/>
      <c r="L16" s="1660"/>
      <c r="M16" s="1661"/>
      <c r="N16" s="166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60"/>
      <c r="K17" s="1660"/>
      <c r="L17" s="1660"/>
      <c r="M17" s="1661"/>
      <c r="N17" s="166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60"/>
      <c r="K18" s="1660"/>
      <c r="L18" s="1660"/>
      <c r="M18" s="1661"/>
      <c r="N18" s="1662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660"/>
      <c r="K19" s="1660"/>
      <c r="L19" s="1660"/>
      <c r="M19" s="1661"/>
      <c r="N19" s="166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60"/>
      <c r="K20" s="1660"/>
      <c r="L20" s="1660"/>
      <c r="M20" s="1661"/>
      <c r="N20" s="1662"/>
      <c r="O20" s="381"/>
      <c r="P20" s="369"/>
    </row>
    <row r="21" spans="1:17" ht="9.9499999999999993" customHeight="1">
      <c r="A21" s="370"/>
      <c r="B21" s="368"/>
      <c r="C21" s="409" t="s">
        <v>725</v>
      </c>
      <c r="D21" s="410"/>
      <c r="E21" s="386"/>
      <c r="F21" s="386"/>
      <c r="G21" s="381"/>
      <c r="H21" s="368"/>
      <c r="I21" s="376"/>
      <c r="J21" s="1660"/>
      <c r="K21" s="1660"/>
      <c r="L21" s="1660"/>
      <c r="M21" s="1661"/>
      <c r="N21" s="166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60"/>
      <c r="K22" s="1660"/>
      <c r="L22" s="1660"/>
      <c r="M22" s="1661"/>
      <c r="N22" s="166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3"/>
      <c r="K23" s="1663"/>
      <c r="L23" s="1663"/>
      <c r="M23" s="1664"/>
      <c r="N23" s="166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3" t="s">
        <v>181</v>
      </c>
      <c r="C25" s="1654"/>
      <c r="D25" s="1654"/>
      <c r="E25" s="1654"/>
      <c r="F25" s="1654"/>
      <c r="G25" s="1655"/>
      <c r="H25" s="391"/>
      <c r="I25" s="1653" t="s">
        <v>358</v>
      </c>
      <c r="J25" s="1654"/>
      <c r="K25" s="1654"/>
      <c r="L25" s="1654"/>
      <c r="M25" s="1654"/>
      <c r="N25" s="1654"/>
      <c r="O25" s="1655"/>
      <c r="P25" s="369"/>
    </row>
    <row r="26" spans="1:17" ht="9.9499999999999993" customHeight="1">
      <c r="A26" s="367"/>
      <c r="B26" s="1656"/>
      <c r="C26" s="1657"/>
      <c r="D26" s="1657"/>
      <c r="E26" s="1657"/>
      <c r="F26" s="1657"/>
      <c r="G26" s="1658"/>
      <c r="H26" s="391"/>
      <c r="I26" s="1656"/>
      <c r="J26" s="1657"/>
      <c r="K26" s="1657"/>
      <c r="L26" s="1657"/>
      <c r="M26" s="1657"/>
      <c r="N26" s="1657"/>
      <c r="O26" s="1658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6" t="s">
        <v>362</v>
      </c>
      <c r="D28" s="1667"/>
      <c r="E28" s="1667"/>
      <c r="F28" s="1667"/>
      <c r="G28" s="393"/>
      <c r="H28" s="368"/>
      <c r="I28" s="1668" t="s">
        <v>732</v>
      </c>
      <c r="J28" s="1669"/>
      <c r="K28" s="1669"/>
      <c r="L28" s="1669"/>
      <c r="M28" s="1669"/>
      <c r="N28" s="1669"/>
      <c r="O28" s="1670"/>
      <c r="P28" s="369"/>
    </row>
    <row r="29" spans="1:17" ht="11.25" customHeight="1">
      <c r="A29" s="367"/>
      <c r="B29" s="402"/>
      <c r="C29" s="666" t="s">
        <v>623</v>
      </c>
      <c r="D29" s="396"/>
      <c r="E29" s="396"/>
      <c r="F29" s="124"/>
      <c r="G29" s="125" t="s">
        <v>182</v>
      </c>
      <c r="H29" s="368"/>
      <c r="I29" s="1668" t="s">
        <v>359</v>
      </c>
      <c r="J29" s="1669"/>
      <c r="K29" s="1669"/>
      <c r="L29" s="1669"/>
      <c r="M29" s="1669"/>
      <c r="N29" s="1669"/>
      <c r="O29" s="1670"/>
      <c r="P29" s="369"/>
      <c r="Q29" s="493"/>
    </row>
    <row r="30" spans="1:17" ht="9.9499999999999993" customHeight="1">
      <c r="A30" s="367"/>
      <c r="B30" s="402"/>
      <c r="C30" s="666" t="s">
        <v>696</v>
      </c>
      <c r="D30" s="396"/>
      <c r="E30" s="396"/>
      <c r="F30" s="124"/>
      <c r="G30" s="125" t="s">
        <v>183</v>
      </c>
      <c r="H30" s="368"/>
      <c r="I30" s="419"/>
      <c r="J30" s="1671"/>
      <c r="K30" s="1671"/>
      <c r="L30" s="1671"/>
      <c r="M30" s="1671"/>
      <c r="N30" s="1671"/>
      <c r="O30" s="421"/>
      <c r="P30" s="369"/>
    </row>
    <row r="31" spans="1:17" ht="9.9499999999999993" customHeight="1">
      <c r="A31" s="367"/>
      <c r="B31" s="402"/>
      <c r="C31" s="666" t="s">
        <v>363</v>
      </c>
      <c r="D31" s="396"/>
      <c r="E31" s="396"/>
      <c r="F31" s="124"/>
      <c r="G31" s="125" t="s">
        <v>356</v>
      </c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 t="s">
        <v>781</v>
      </c>
      <c r="D32" s="396"/>
      <c r="E32" s="396"/>
      <c r="F32" s="124"/>
      <c r="G32" s="125" t="s">
        <v>782</v>
      </c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2" t="s">
        <v>184</v>
      </c>
      <c r="F38" s="1673"/>
      <c r="G38" s="1673"/>
      <c r="H38" s="1673"/>
      <c r="I38" s="1673"/>
      <c r="J38" s="1673"/>
      <c r="K38" s="1673"/>
      <c r="L38" s="1673"/>
      <c r="O38" s="380"/>
      <c r="P38" s="369"/>
    </row>
    <row r="39" spans="1:16" ht="9.9499999999999993" customHeight="1">
      <c r="A39" s="367"/>
      <c r="B39" s="402"/>
      <c r="C39" s="439"/>
      <c r="D39" s="125"/>
      <c r="E39" s="1672"/>
      <c r="F39" s="1673"/>
      <c r="G39" s="1673"/>
      <c r="H39" s="1673"/>
      <c r="I39" s="1673"/>
      <c r="J39" s="1673"/>
      <c r="K39" s="1673"/>
      <c r="L39" s="1673"/>
      <c r="O39" s="380"/>
      <c r="P39" s="369"/>
    </row>
    <row r="40" spans="1:16" ht="9.9499999999999993" customHeight="1">
      <c r="A40" s="367"/>
      <c r="B40" s="402"/>
      <c r="C40" s="428"/>
      <c r="D40" s="125"/>
      <c r="E40" s="1674" t="s">
        <v>360</v>
      </c>
      <c r="F40" s="1675"/>
      <c r="G40" s="1675"/>
      <c r="H40" s="1675"/>
      <c r="I40" s="1675"/>
      <c r="J40" s="1675"/>
      <c r="K40" s="1675"/>
      <c r="L40" s="1676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9" t="s">
        <v>31</v>
      </c>
      <c r="F46" s="1690"/>
      <c r="G46" s="1690"/>
      <c r="H46" s="1690"/>
      <c r="I46" s="1690"/>
      <c r="J46" s="1690"/>
      <c r="K46" s="1690"/>
      <c r="L46" s="1691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2" t="s">
        <v>186</v>
      </c>
      <c r="C48" s="1693"/>
      <c r="D48" s="1693"/>
      <c r="E48" s="1693"/>
      <c r="F48" s="1693"/>
      <c r="G48" s="1693"/>
      <c r="H48" s="1693"/>
      <c r="I48" s="1693"/>
      <c r="J48" s="1693"/>
      <c r="K48" s="1693"/>
      <c r="L48" s="1693"/>
      <c r="M48" s="1693"/>
      <c r="N48" s="1693"/>
      <c r="O48" s="1694"/>
      <c r="P48" s="369"/>
    </row>
    <row r="49" spans="1:16" ht="9.9499999999999993" customHeight="1">
      <c r="A49" s="367"/>
      <c r="B49" s="1672"/>
      <c r="C49" s="1673"/>
      <c r="D49" s="1673"/>
      <c r="E49" s="1673"/>
      <c r="F49" s="1673"/>
      <c r="G49" s="1673"/>
      <c r="H49" s="1673"/>
      <c r="I49" s="1673"/>
      <c r="J49" s="1673"/>
      <c r="K49" s="1673"/>
      <c r="L49" s="1673"/>
      <c r="M49" s="1673"/>
      <c r="N49" s="1673"/>
      <c r="O49" s="1695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382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1"/>
      <c r="G55" s="1681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2"/>
      <c r="C57" s="1696"/>
      <c r="D57" s="1696"/>
      <c r="E57" s="1696"/>
      <c r="F57" s="1696"/>
      <c r="G57" s="1696"/>
      <c r="H57" s="1696"/>
      <c r="I57" s="1696"/>
      <c r="J57" s="1696"/>
      <c r="K57" s="1696"/>
      <c r="L57" s="1696"/>
      <c r="M57" s="1696"/>
      <c r="N57" s="1696"/>
      <c r="O57" s="1697"/>
      <c r="P57" s="395"/>
    </row>
    <row r="58" spans="1:16" ht="9.9499999999999993" customHeight="1">
      <c r="A58" s="394"/>
      <c r="B58" s="1698"/>
      <c r="C58" s="1699"/>
      <c r="D58" s="1699"/>
      <c r="E58" s="1699"/>
      <c r="F58" s="1699"/>
      <c r="G58" s="1699"/>
      <c r="H58" s="1699"/>
      <c r="I58" s="1699"/>
      <c r="J58" s="1699"/>
      <c r="K58" s="1699"/>
      <c r="L58" s="1699"/>
      <c r="M58" s="1699"/>
      <c r="N58" s="1699"/>
      <c r="O58" s="1700"/>
      <c r="P58" s="395"/>
    </row>
    <row r="59" spans="1:16" ht="9.9499999999999993" customHeight="1">
      <c r="A59" s="404"/>
      <c r="B59" s="1630"/>
      <c r="C59" s="1631"/>
      <c r="D59" s="1631"/>
      <c r="E59" s="1631"/>
      <c r="F59" s="1631"/>
      <c r="G59" s="1631"/>
      <c r="H59" s="1631"/>
      <c r="I59" s="1631"/>
      <c r="J59" s="1631"/>
      <c r="K59" s="1631"/>
      <c r="L59" s="1631"/>
      <c r="M59" s="1631"/>
      <c r="N59" s="1631"/>
      <c r="O59" s="1632"/>
      <c r="P59" s="395"/>
    </row>
    <row r="60" spans="1:16" ht="9.9499999999999993" customHeight="1">
      <c r="A60" s="404"/>
      <c r="B60" s="1630"/>
      <c r="C60" s="1631"/>
      <c r="D60" s="1631"/>
      <c r="E60" s="1631"/>
      <c r="F60" s="1631"/>
      <c r="G60" s="1631"/>
      <c r="H60" s="1631"/>
      <c r="I60" s="1631"/>
      <c r="J60" s="1631"/>
      <c r="K60" s="1631"/>
      <c r="L60" s="1631"/>
      <c r="M60" s="1631"/>
      <c r="N60" s="1631"/>
      <c r="O60" s="1632"/>
      <c r="P60" s="395"/>
    </row>
    <row r="61" spans="1:16" ht="9.9499999999999993" customHeight="1">
      <c r="A61" s="404"/>
      <c r="B61" s="1633"/>
      <c r="C61" s="1701"/>
      <c r="D61" s="1701"/>
      <c r="E61" s="1701"/>
      <c r="F61" s="1701"/>
      <c r="G61" s="1701"/>
      <c r="H61" s="1701"/>
      <c r="I61" s="1701"/>
      <c r="J61" s="1701"/>
      <c r="K61" s="1701"/>
      <c r="L61" s="1701"/>
      <c r="M61" s="1701"/>
      <c r="N61" s="1701"/>
      <c r="O61" s="1634"/>
      <c r="P61" s="403"/>
    </row>
    <row r="62" spans="1:16" ht="9.9499999999999993" customHeight="1">
      <c r="A62" s="404"/>
      <c r="B62" s="1635"/>
      <c r="C62" s="1636"/>
      <c r="D62" s="1631"/>
      <c r="E62" s="1631"/>
      <c r="F62" s="1631"/>
      <c r="G62" s="1631"/>
      <c r="H62" s="1631"/>
      <c r="I62" s="1631"/>
      <c r="J62" s="1631"/>
      <c r="K62" s="1631"/>
      <c r="L62" s="1631"/>
      <c r="M62" s="1631"/>
      <c r="N62" s="1631"/>
      <c r="O62" s="1634"/>
      <c r="P62" s="403"/>
    </row>
    <row r="63" spans="1:16" ht="9.9499999999999993" customHeight="1">
      <c r="A63" s="404"/>
      <c r="B63" s="1635"/>
      <c r="C63" s="1636"/>
      <c r="D63" s="1631"/>
      <c r="E63" s="1631"/>
      <c r="F63" s="1631"/>
      <c r="G63" s="1631"/>
      <c r="H63" s="1631"/>
      <c r="I63" s="1631"/>
      <c r="J63" s="1631"/>
      <c r="K63" s="1631"/>
      <c r="L63" s="1631"/>
      <c r="M63" s="1631"/>
      <c r="N63" s="1631"/>
      <c r="O63" s="1634"/>
      <c r="P63" s="403"/>
    </row>
    <row r="64" spans="1:16" ht="9.9499999999999993" customHeight="1">
      <c r="A64" s="404"/>
      <c r="B64" s="1635"/>
      <c r="C64" s="1637"/>
      <c r="D64" s="1638"/>
      <c r="E64" s="1638"/>
      <c r="F64" s="1638"/>
      <c r="G64" s="1639"/>
      <c r="H64" s="1640"/>
      <c r="I64" s="1640"/>
      <c r="J64" s="1638"/>
      <c r="K64" s="1638"/>
      <c r="L64" s="1638"/>
      <c r="M64" s="1638"/>
      <c r="N64" s="1638"/>
      <c r="O64" s="1634"/>
      <c r="P64" s="395"/>
    </row>
    <row r="65" spans="1:16" ht="9.9499999999999993" customHeight="1">
      <c r="A65" s="404"/>
      <c r="B65" s="1635"/>
      <c r="C65" s="1638"/>
      <c r="D65" s="1638"/>
      <c r="E65" s="1638"/>
      <c r="F65" s="1638"/>
      <c r="G65" s="1640"/>
      <c r="H65" s="1640"/>
      <c r="I65" s="1640"/>
      <c r="J65" s="1638"/>
      <c r="K65" s="1638"/>
      <c r="L65" s="1638"/>
      <c r="M65" s="1638"/>
      <c r="N65" s="1638"/>
      <c r="O65" s="1634"/>
      <c r="P65" s="395"/>
    </row>
    <row r="66" spans="1:16" ht="9.9499999999999993" customHeight="1">
      <c r="A66" s="404"/>
      <c r="B66" s="1630"/>
      <c r="C66" s="1631"/>
      <c r="D66" s="1631"/>
      <c r="E66" s="1631"/>
      <c r="F66" s="1631"/>
      <c r="G66" s="1631"/>
      <c r="H66" s="1631"/>
      <c r="I66" s="1631"/>
      <c r="J66" s="1631"/>
      <c r="K66" s="1631"/>
      <c r="L66" s="1631"/>
      <c r="M66" s="1631"/>
      <c r="N66" s="1631"/>
      <c r="O66" s="1632"/>
      <c r="P66" s="395"/>
    </row>
    <row r="67" spans="1:16" ht="9.9499999999999993" customHeight="1">
      <c r="A67" s="404"/>
      <c r="B67" s="1630"/>
      <c r="C67" s="1631"/>
      <c r="D67" s="1631"/>
      <c r="E67" s="1631"/>
      <c r="F67" s="1631"/>
      <c r="G67" s="1631"/>
      <c r="H67" s="1631"/>
      <c r="I67" s="1631"/>
      <c r="J67" s="1631"/>
      <c r="K67" s="1631"/>
      <c r="L67" s="1631"/>
      <c r="M67" s="1631"/>
      <c r="N67" s="1631"/>
      <c r="O67" s="1632"/>
      <c r="P67" s="395"/>
    </row>
    <row r="68" spans="1:16" ht="12" customHeight="1">
      <c r="A68" s="404"/>
      <c r="B68" s="1630"/>
      <c r="C68" s="1631"/>
      <c r="D68" s="1631"/>
      <c r="E68" s="1631"/>
      <c r="F68" s="1631"/>
      <c r="G68" s="1631"/>
      <c r="H68" s="1631"/>
      <c r="I68" s="1631"/>
      <c r="J68" s="1631"/>
      <c r="K68" s="1631"/>
      <c r="L68" s="1631"/>
      <c r="M68" s="1631"/>
      <c r="N68" s="1631"/>
      <c r="O68" s="1632"/>
      <c r="P68" s="395"/>
    </row>
    <row r="69" spans="1:16" ht="12" customHeight="1">
      <c r="A69" s="405"/>
      <c r="B69" s="1630"/>
      <c r="C69" s="1631"/>
      <c r="D69" s="1631"/>
      <c r="E69" s="1631"/>
      <c r="F69" s="1631"/>
      <c r="G69" s="1631"/>
      <c r="H69" s="1631"/>
      <c r="I69" s="1631"/>
      <c r="J69" s="1631"/>
      <c r="K69" s="1631"/>
      <c r="L69" s="1631"/>
      <c r="M69" s="1631"/>
      <c r="N69" s="1631"/>
      <c r="O69" s="1632"/>
      <c r="P69" s="397"/>
    </row>
    <row r="70" spans="1:16" ht="9.9499999999999993" customHeight="1">
      <c r="A70" s="398"/>
      <c r="B70" s="1630"/>
      <c r="C70" s="1631"/>
      <c r="D70" s="1631"/>
      <c r="E70" s="1631"/>
      <c r="F70" s="1631"/>
      <c r="G70" s="1631"/>
      <c r="H70" s="1631"/>
      <c r="I70" s="1631"/>
      <c r="J70" s="1631"/>
      <c r="K70" s="1631"/>
      <c r="L70" s="1631"/>
      <c r="M70" s="1631"/>
      <c r="N70" s="1631"/>
      <c r="O70" s="1632"/>
      <c r="P70" s="398"/>
    </row>
    <row r="71" spans="1:16" ht="89.25" customHeight="1">
      <c r="A71" s="398"/>
      <c r="B71" s="1630"/>
      <c r="C71" s="1631"/>
      <c r="D71" s="1631"/>
      <c r="E71" s="1631"/>
      <c r="F71" s="1631"/>
      <c r="G71" s="1631"/>
      <c r="H71" s="1631"/>
      <c r="I71" s="1631"/>
      <c r="J71" s="1631"/>
      <c r="K71" s="1631"/>
      <c r="L71" s="1631"/>
      <c r="M71" s="1631"/>
      <c r="N71" s="1631"/>
      <c r="O71" s="1632"/>
      <c r="P71" s="398"/>
    </row>
    <row r="72" spans="1:16" ht="6.6" customHeight="1">
      <c r="B72" s="1702" t="s">
        <v>189</v>
      </c>
      <c r="C72" s="1703"/>
      <c r="D72" s="1703"/>
      <c r="E72" s="1703"/>
      <c r="F72" s="1703"/>
      <c r="G72" s="1703"/>
      <c r="H72" s="1703"/>
      <c r="I72" s="1703"/>
      <c r="J72" s="1703"/>
      <c r="K72" s="1703"/>
      <c r="L72" s="1703"/>
      <c r="M72" s="1703"/>
      <c r="N72" s="1703"/>
      <c r="O72" s="1704"/>
    </row>
    <row r="73" spans="1:16">
      <c r="B73" s="1705"/>
      <c r="C73" s="1706"/>
      <c r="D73" s="1706"/>
      <c r="E73" s="1706"/>
      <c r="F73" s="1706"/>
      <c r="G73" s="1706"/>
      <c r="H73" s="1706"/>
      <c r="I73" s="1706"/>
      <c r="J73" s="1706"/>
      <c r="K73" s="1706"/>
      <c r="L73" s="1706"/>
      <c r="M73" s="1706"/>
      <c r="N73" s="1706"/>
      <c r="O73" s="1707"/>
    </row>
    <row r="74" spans="1:16">
      <c r="B74" s="1677" t="s">
        <v>190</v>
      </c>
      <c r="C74" s="1678"/>
      <c r="D74" s="1678"/>
      <c r="E74" s="1678"/>
      <c r="F74" s="1678"/>
      <c r="G74" s="1678"/>
      <c r="H74" s="1678"/>
      <c r="I74" s="1678"/>
      <c r="J74" s="1678"/>
      <c r="K74" s="1678"/>
      <c r="L74" s="1678"/>
      <c r="M74" s="1678"/>
      <c r="N74" s="1678"/>
      <c r="O74" s="1679"/>
    </row>
    <row r="75" spans="1:16" ht="9.9499999999999993" customHeight="1">
      <c r="B75" s="1680" t="s">
        <v>191</v>
      </c>
      <c r="C75" s="1681"/>
      <c r="D75" s="1681"/>
      <c r="E75" s="1681"/>
      <c r="F75" s="1681"/>
      <c r="G75" s="1681"/>
      <c r="H75" s="1681"/>
      <c r="I75" s="1681"/>
      <c r="J75" s="1681"/>
      <c r="K75" s="1681"/>
      <c r="L75" s="1681"/>
      <c r="M75" s="1681"/>
      <c r="N75" s="1681"/>
      <c r="O75" s="1682"/>
    </row>
    <row r="76" spans="1:16" ht="13.5" customHeight="1">
      <c r="B76" s="1683" t="s">
        <v>192</v>
      </c>
      <c r="C76" s="1684"/>
      <c r="D76" s="1684"/>
      <c r="E76" s="1684"/>
      <c r="F76" s="1684"/>
      <c r="G76" s="1684"/>
      <c r="H76" s="1684"/>
      <c r="I76" s="1684"/>
      <c r="J76" s="1684"/>
      <c r="K76" s="1684"/>
      <c r="L76" s="1684"/>
      <c r="M76" s="1684"/>
      <c r="N76" s="1684"/>
      <c r="O76" s="1685"/>
    </row>
    <row r="77" spans="1:16">
      <c r="B77" s="1686"/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8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topLeftCell="A17" zoomScaleNormal="130" workbookViewId="0">
      <selection activeCell="Q71" sqref="Q71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2"/>
      <c r="B2" s="1643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342"/>
      <c r="P2" s="343"/>
    </row>
    <row r="3" spans="1:16" ht="9.9499999999999993" customHeight="1">
      <c r="A3" s="1645"/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6"/>
      <c r="D6" s="1646"/>
      <c r="E6" s="1646"/>
      <c r="F6" s="1646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7"/>
      <c r="D7" s="1647"/>
      <c r="E7" s="1647"/>
      <c r="F7" s="1647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8"/>
      <c r="D8" s="1648"/>
      <c r="E8" s="1648"/>
      <c r="F8" s="1648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9" t="s">
        <v>361</v>
      </c>
      <c r="G9" s="1649"/>
      <c r="H9" s="1650">
        <v>45978</v>
      </c>
      <c r="I9" s="1650"/>
      <c r="J9" s="1650"/>
      <c r="K9" s="1650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1"/>
      <c r="D10" s="1651"/>
      <c r="E10" s="1651"/>
      <c r="F10" s="1651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2" t="s">
        <v>373</v>
      </c>
      <c r="C12" s="1652"/>
      <c r="D12" s="1652"/>
      <c r="E12" s="1652"/>
      <c r="F12" s="1652"/>
      <c r="G12" s="1652"/>
      <c r="H12" s="1652"/>
      <c r="I12" s="1652"/>
      <c r="J12" s="1652"/>
      <c r="K12" s="1652"/>
      <c r="L12" s="1652"/>
      <c r="M12" s="1652"/>
      <c r="N12" s="1652"/>
      <c r="O12" s="1652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3" t="s">
        <v>173</v>
      </c>
      <c r="C14" s="1654"/>
      <c r="D14" s="1654"/>
      <c r="E14" s="1654"/>
      <c r="F14" s="1654"/>
      <c r="G14" s="1655"/>
      <c r="H14" s="368"/>
      <c r="I14" s="1653" t="s">
        <v>174</v>
      </c>
      <c r="J14" s="1654"/>
      <c r="K14" s="1654"/>
      <c r="L14" s="1654"/>
      <c r="M14" s="1654"/>
      <c r="N14" s="1654"/>
      <c r="O14" s="1655"/>
      <c r="P14" s="369"/>
    </row>
    <row r="15" spans="1:16" ht="9.9499999999999993" customHeight="1">
      <c r="A15" s="367"/>
      <c r="B15" s="1656"/>
      <c r="C15" s="1657"/>
      <c r="D15" s="1657"/>
      <c r="E15" s="1657"/>
      <c r="F15" s="1657"/>
      <c r="G15" s="1658"/>
      <c r="H15" s="368"/>
      <c r="I15" s="1656"/>
      <c r="J15" s="1657"/>
      <c r="K15" s="1657"/>
      <c r="L15" s="1657"/>
      <c r="M15" s="1657"/>
      <c r="N15" s="1657"/>
      <c r="O15" s="1658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9" t="s">
        <v>284</v>
      </c>
      <c r="K16" s="1660"/>
      <c r="L16" s="1660"/>
      <c r="M16" s="1661"/>
      <c r="N16" s="166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60"/>
      <c r="K17" s="1660"/>
      <c r="L17" s="1660"/>
      <c r="M17" s="1661"/>
      <c r="N17" s="166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60"/>
      <c r="K18" s="1660"/>
      <c r="L18" s="1660"/>
      <c r="M18" s="1661"/>
      <c r="N18" s="1662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660"/>
      <c r="K19" s="1660"/>
      <c r="L19" s="1660"/>
      <c r="M19" s="1661"/>
      <c r="N19" s="166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60"/>
      <c r="K20" s="1660"/>
      <c r="L20" s="1660"/>
      <c r="M20" s="1661"/>
      <c r="N20" s="166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60"/>
      <c r="K21" s="1660"/>
      <c r="L21" s="1660"/>
      <c r="M21" s="1661"/>
      <c r="N21" s="166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60"/>
      <c r="K22" s="1660"/>
      <c r="L22" s="1660"/>
      <c r="M22" s="1661"/>
      <c r="N22" s="166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3"/>
      <c r="K23" s="1663"/>
      <c r="L23" s="1663"/>
      <c r="M23" s="1664"/>
      <c r="N23" s="166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3" t="s">
        <v>181</v>
      </c>
      <c r="C25" s="1654"/>
      <c r="D25" s="1654"/>
      <c r="E25" s="1654"/>
      <c r="F25" s="1654"/>
      <c r="G25" s="1655"/>
      <c r="H25" s="391"/>
      <c r="I25" s="1653" t="s">
        <v>384</v>
      </c>
      <c r="J25" s="1654"/>
      <c r="K25" s="1654"/>
      <c r="L25" s="1654"/>
      <c r="M25" s="1654"/>
      <c r="N25" s="1654"/>
      <c r="O25" s="1891"/>
      <c r="P25" s="369"/>
    </row>
    <row r="26" spans="1:17" ht="9.9499999999999993" customHeight="1">
      <c r="A26" s="367"/>
      <c r="B26" s="1656"/>
      <c r="C26" s="1657"/>
      <c r="D26" s="1657"/>
      <c r="E26" s="1657"/>
      <c r="F26" s="1657"/>
      <c r="G26" s="1658"/>
      <c r="H26" s="391"/>
      <c r="I26" s="1656"/>
      <c r="J26" s="1657"/>
      <c r="K26" s="1657"/>
      <c r="L26" s="1657"/>
      <c r="M26" s="1657"/>
      <c r="N26" s="1657"/>
      <c r="O26" s="1892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6" t="s">
        <v>367</v>
      </c>
      <c r="D28" s="1667"/>
      <c r="E28" s="1667"/>
      <c r="F28" s="1667"/>
      <c r="G28" s="393"/>
      <c r="H28" s="368"/>
      <c r="I28" s="1668"/>
      <c r="J28" s="1669"/>
      <c r="K28" s="1669"/>
      <c r="L28" s="1669"/>
      <c r="M28" s="1669"/>
      <c r="N28" s="1669"/>
      <c r="O28" s="1670"/>
      <c r="P28" s="369"/>
    </row>
    <row r="29" spans="1:17" ht="11.25" customHeight="1">
      <c r="A29" s="367"/>
      <c r="B29" s="402"/>
      <c r="C29" s="666" t="s">
        <v>395</v>
      </c>
      <c r="D29" s="396"/>
      <c r="E29" s="396"/>
      <c r="F29" s="124"/>
      <c r="G29" s="125" t="s">
        <v>182</v>
      </c>
      <c r="H29" s="368"/>
      <c r="I29" s="1668" t="s">
        <v>383</v>
      </c>
      <c r="J29" s="1671"/>
      <c r="K29" s="1671"/>
      <c r="L29" s="1671"/>
      <c r="M29" s="1671"/>
      <c r="N29" s="1671"/>
      <c r="O29" s="1893"/>
      <c r="P29" s="369"/>
      <c r="Q29" s="493"/>
    </row>
    <row r="30" spans="1:17" ht="9.9499999999999993" customHeight="1">
      <c r="A30" s="367"/>
      <c r="B30" s="402"/>
      <c r="C30" s="666" t="s">
        <v>354</v>
      </c>
      <c r="D30" s="396"/>
      <c r="E30" s="396"/>
      <c r="F30" s="124"/>
      <c r="G30" s="125" t="s">
        <v>183</v>
      </c>
      <c r="H30" s="368"/>
      <c r="I30" s="419"/>
      <c r="O30" s="421"/>
      <c r="P30" s="369"/>
    </row>
    <row r="31" spans="1:17" ht="9.9499999999999993" customHeight="1">
      <c r="A31" s="367"/>
      <c r="B31" s="402"/>
      <c r="C31" s="666" t="s">
        <v>355</v>
      </c>
      <c r="D31" s="396"/>
      <c r="E31" s="396"/>
      <c r="F31" s="124"/>
      <c r="G31" s="125" t="s">
        <v>356</v>
      </c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 t="s">
        <v>368</v>
      </c>
      <c r="D32" s="396"/>
      <c r="E32" s="396"/>
      <c r="F32" s="124"/>
      <c r="G32" s="125" t="s">
        <v>357</v>
      </c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687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687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687"/>
      <c r="P35" s="369"/>
    </row>
    <row r="36" spans="1:16" ht="9.9499999999999993" customHeight="1">
      <c r="A36" s="367"/>
      <c r="B36" s="402"/>
      <c r="D36" s="674"/>
      <c r="E36" s="676"/>
      <c r="O36" s="688"/>
      <c r="P36" s="369"/>
    </row>
    <row r="37" spans="1:16" ht="9.9499999999999993" customHeight="1">
      <c r="A37" s="367"/>
      <c r="B37" s="402"/>
      <c r="D37" s="675"/>
      <c r="O37" s="688"/>
      <c r="P37" s="369"/>
    </row>
    <row r="38" spans="1:16" ht="9.9499999999999993" customHeight="1">
      <c r="A38" s="367"/>
      <c r="B38" s="402"/>
      <c r="C38" s="378"/>
      <c r="D38" s="442"/>
      <c r="E38" s="1672" t="s">
        <v>184</v>
      </c>
      <c r="F38" s="1673"/>
      <c r="G38" s="1673"/>
      <c r="H38" s="1673"/>
      <c r="I38" s="1673"/>
      <c r="J38" s="1673"/>
      <c r="K38" s="1673"/>
      <c r="L38" s="1673"/>
      <c r="O38" s="688"/>
      <c r="P38" s="369"/>
    </row>
    <row r="39" spans="1:16" ht="9.9499999999999993" customHeight="1">
      <c r="A39" s="367"/>
      <c r="B39" s="402"/>
      <c r="C39" s="439"/>
      <c r="D39" s="125"/>
      <c r="E39" s="1672"/>
      <c r="F39" s="1673"/>
      <c r="G39" s="1673"/>
      <c r="H39" s="1673"/>
      <c r="I39" s="1673"/>
      <c r="J39" s="1673"/>
      <c r="K39" s="1673"/>
      <c r="L39" s="1673"/>
      <c r="O39" s="688"/>
      <c r="P39" s="369"/>
    </row>
    <row r="40" spans="1:16" ht="9.9499999999999993" customHeight="1">
      <c r="A40" s="367"/>
      <c r="B40" s="402"/>
      <c r="C40" s="428"/>
      <c r="D40" s="125"/>
      <c r="E40" s="683"/>
      <c r="F40" s="1675" t="s">
        <v>394</v>
      </c>
      <c r="G40" s="1675"/>
      <c r="H40" s="1675"/>
      <c r="I40" s="1675"/>
      <c r="J40" s="1675"/>
      <c r="K40" s="1675"/>
      <c r="L40" s="686"/>
      <c r="O40" s="688"/>
      <c r="P40" s="369"/>
    </row>
    <row r="41" spans="1:16" ht="9.9499999999999993" customHeight="1">
      <c r="A41" s="367"/>
      <c r="B41" s="402"/>
      <c r="C41" s="428"/>
      <c r="D41" s="125"/>
      <c r="E41" s="679"/>
      <c r="G41" s="693" t="s">
        <v>185</v>
      </c>
      <c r="H41" s="685"/>
      <c r="I41" s="676"/>
      <c r="J41" s="685">
        <v>-0.25</v>
      </c>
      <c r="L41" s="393"/>
      <c r="O41" s="689"/>
      <c r="P41" s="369"/>
    </row>
    <row r="42" spans="1:16" ht="10.5" customHeight="1">
      <c r="A42" s="367"/>
      <c r="B42" s="402"/>
      <c r="C42" s="428"/>
      <c r="D42" s="443"/>
      <c r="E42" s="679"/>
      <c r="G42" s="691" t="s">
        <v>199</v>
      </c>
      <c r="H42" s="692"/>
      <c r="J42" s="692">
        <v>-0.32500000000000001</v>
      </c>
      <c r="L42" s="393"/>
      <c r="O42" s="393"/>
      <c r="P42" s="369"/>
    </row>
    <row r="43" spans="1:16" ht="9.9499999999999993" customHeight="1">
      <c r="A43" s="367"/>
      <c r="B43" s="402"/>
      <c r="C43" s="428"/>
      <c r="D43" s="440"/>
      <c r="E43" s="679"/>
      <c r="G43" s="691" t="s">
        <v>200</v>
      </c>
      <c r="H43" s="692"/>
      <c r="J43" s="692">
        <v>-0.55000000000000004</v>
      </c>
      <c r="L43" s="393"/>
      <c r="O43" s="393"/>
      <c r="P43" s="369"/>
    </row>
    <row r="44" spans="1:16" ht="9.9499999999999993" customHeight="1">
      <c r="A44" s="367"/>
      <c r="B44" s="402"/>
      <c r="D44" s="665"/>
      <c r="E44" s="679"/>
      <c r="F44" s="664"/>
      <c r="G44" s="691" t="s">
        <v>201</v>
      </c>
      <c r="H44" s="664"/>
      <c r="J44" s="692">
        <v>-0.65</v>
      </c>
      <c r="L44" s="393"/>
      <c r="O44" s="393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O45" s="393"/>
      <c r="P45" s="369"/>
    </row>
    <row r="46" spans="1:16" ht="9.9499999999999993" customHeight="1">
      <c r="A46" s="367"/>
      <c r="B46" s="402"/>
      <c r="D46" s="440"/>
      <c r="E46" s="1689" t="s">
        <v>330</v>
      </c>
      <c r="F46" s="1690"/>
      <c r="G46" s="1690"/>
      <c r="H46" s="1690"/>
      <c r="I46" s="1690"/>
      <c r="J46" s="1690"/>
      <c r="K46" s="1690"/>
      <c r="L46" s="1691"/>
      <c r="O46" s="393"/>
      <c r="P46" s="369"/>
    </row>
    <row r="47" spans="1:16" ht="9.9499999999999993" customHeight="1">
      <c r="A47" s="367"/>
      <c r="B47" s="690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M47" s="684"/>
      <c r="N47" s="684"/>
      <c r="O47" s="686"/>
      <c r="P47" s="369"/>
    </row>
    <row r="48" spans="1:16" ht="9.9499999999999993" customHeight="1">
      <c r="A48" s="367"/>
      <c r="B48" s="1692" t="s">
        <v>186</v>
      </c>
      <c r="C48" s="1693"/>
      <c r="D48" s="1693"/>
      <c r="E48" s="1693"/>
      <c r="F48" s="1693"/>
      <c r="G48" s="1693"/>
      <c r="H48" s="1693"/>
      <c r="I48" s="1693"/>
      <c r="J48" s="1693"/>
      <c r="K48" s="1693"/>
      <c r="L48" s="1693"/>
      <c r="M48" s="1693"/>
      <c r="N48" s="1693"/>
      <c r="O48" s="1694"/>
      <c r="P48" s="369"/>
    </row>
    <row r="49" spans="1:16" ht="9.9499999999999993" customHeight="1">
      <c r="A49" s="367"/>
      <c r="B49" s="1672"/>
      <c r="C49" s="1673"/>
      <c r="D49" s="1673"/>
      <c r="E49" s="1673"/>
      <c r="F49" s="1673"/>
      <c r="G49" s="1673"/>
      <c r="H49" s="1673"/>
      <c r="I49" s="1673"/>
      <c r="J49" s="1673"/>
      <c r="K49" s="1673"/>
      <c r="L49" s="1673"/>
      <c r="M49" s="1673"/>
      <c r="N49" s="1673"/>
      <c r="O49" s="1695"/>
      <c r="P49" s="369"/>
    </row>
    <row r="50" spans="1:16">
      <c r="A50" s="367"/>
      <c r="B50" s="1894" t="s">
        <v>398</v>
      </c>
      <c r="C50" s="1895"/>
      <c r="D50" s="1895"/>
      <c r="E50" s="1895"/>
      <c r="F50" s="1895"/>
      <c r="G50" s="1895"/>
      <c r="H50" s="1895"/>
      <c r="I50" s="1895"/>
      <c r="J50" s="1895"/>
      <c r="K50" s="1895"/>
      <c r="L50" s="1895"/>
      <c r="M50" s="1895"/>
      <c r="N50" s="1895"/>
      <c r="O50" s="1896"/>
      <c r="P50" s="369"/>
    </row>
    <row r="51" spans="1:16">
      <c r="A51" s="367"/>
      <c r="B51" s="1894"/>
      <c r="C51" s="1895"/>
      <c r="D51" s="1895"/>
      <c r="E51" s="1895"/>
      <c r="F51" s="1895"/>
      <c r="G51" s="1895"/>
      <c r="H51" s="1895"/>
      <c r="I51" s="1895"/>
      <c r="J51" s="1895"/>
      <c r="K51" s="1895"/>
      <c r="L51" s="1895"/>
      <c r="M51" s="1895"/>
      <c r="N51" s="1895"/>
      <c r="O51" s="1896"/>
      <c r="P51" s="369"/>
    </row>
    <row r="52" spans="1:16" ht="9.9499999999999993" customHeight="1">
      <c r="A52" s="367"/>
      <c r="B52" s="1894"/>
      <c r="C52" s="1895"/>
      <c r="D52" s="1895"/>
      <c r="E52" s="1895"/>
      <c r="F52" s="1895"/>
      <c r="G52" s="1895"/>
      <c r="H52" s="1895"/>
      <c r="I52" s="1895"/>
      <c r="J52" s="1895"/>
      <c r="K52" s="1895"/>
      <c r="L52" s="1895"/>
      <c r="M52" s="1895"/>
      <c r="N52" s="1895"/>
      <c r="O52" s="1896"/>
      <c r="P52" s="369"/>
    </row>
    <row r="53" spans="1:16" ht="9.9499999999999993" customHeight="1">
      <c r="A53" s="394"/>
      <c r="B53" s="1894"/>
      <c r="C53" s="1895"/>
      <c r="D53" s="1895"/>
      <c r="E53" s="1895"/>
      <c r="F53" s="1895"/>
      <c r="G53" s="1895"/>
      <c r="H53" s="1895"/>
      <c r="I53" s="1895"/>
      <c r="J53" s="1895"/>
      <c r="K53" s="1895"/>
      <c r="L53" s="1895"/>
      <c r="M53" s="1895"/>
      <c r="N53" s="1895"/>
      <c r="O53" s="1896"/>
      <c r="P53" s="395"/>
    </row>
    <row r="54" spans="1:16" ht="9.9499999999999993" customHeight="1">
      <c r="A54" s="394"/>
      <c r="B54" s="1894"/>
      <c r="C54" s="1895"/>
      <c r="D54" s="1895"/>
      <c r="E54" s="1895"/>
      <c r="F54" s="1895"/>
      <c r="G54" s="1895"/>
      <c r="H54" s="1895"/>
      <c r="I54" s="1895"/>
      <c r="J54" s="1895"/>
      <c r="K54" s="1895"/>
      <c r="L54" s="1895"/>
      <c r="M54" s="1895"/>
      <c r="N54" s="1895"/>
      <c r="O54" s="1896"/>
      <c r="P54" s="395"/>
    </row>
    <row r="55" spans="1:16" ht="9.9499999999999993" customHeight="1">
      <c r="A55" s="394"/>
      <c r="B55" s="1894"/>
      <c r="C55" s="1895"/>
      <c r="D55" s="1895"/>
      <c r="E55" s="1895"/>
      <c r="F55" s="1895"/>
      <c r="G55" s="1895"/>
      <c r="H55" s="1895"/>
      <c r="I55" s="1895"/>
      <c r="J55" s="1895"/>
      <c r="K55" s="1895"/>
      <c r="L55" s="1895"/>
      <c r="M55" s="1895"/>
      <c r="N55" s="1895"/>
      <c r="O55" s="1896"/>
      <c r="P55" s="395"/>
    </row>
    <row r="56" spans="1:16" ht="9.9499999999999993" customHeight="1">
      <c r="A56" s="394"/>
      <c r="B56" s="1897"/>
      <c r="C56" s="1898"/>
      <c r="D56" s="1898"/>
      <c r="E56" s="1898"/>
      <c r="F56" s="1898"/>
      <c r="G56" s="1898"/>
      <c r="H56" s="1898"/>
      <c r="I56" s="1898"/>
      <c r="J56" s="1898"/>
      <c r="K56" s="1898"/>
      <c r="L56" s="1898"/>
      <c r="M56" s="1898"/>
      <c r="N56" s="1898"/>
      <c r="O56" s="1899"/>
      <c r="P56" s="395"/>
    </row>
    <row r="57" spans="1:16" ht="9.9499999999999993" customHeight="1">
      <c r="A57" s="394"/>
      <c r="B57" s="1692"/>
      <c r="C57" s="1696"/>
      <c r="D57" s="1696"/>
      <c r="E57" s="1696"/>
      <c r="F57" s="1696"/>
      <c r="G57" s="1696"/>
      <c r="H57" s="1696"/>
      <c r="I57" s="1696"/>
      <c r="J57" s="1696"/>
      <c r="K57" s="1696"/>
      <c r="L57" s="1696"/>
      <c r="M57" s="1696"/>
      <c r="N57" s="1696"/>
      <c r="O57" s="1697"/>
      <c r="P57" s="395"/>
    </row>
    <row r="58" spans="1:16" ht="9.9499999999999993" customHeight="1">
      <c r="A58" s="394"/>
      <c r="B58" s="1698"/>
      <c r="C58" s="1699"/>
      <c r="D58" s="1699"/>
      <c r="E58" s="1699"/>
      <c r="F58" s="1699"/>
      <c r="G58" s="1699"/>
      <c r="H58" s="1699"/>
      <c r="I58" s="1699"/>
      <c r="J58" s="1699"/>
      <c r="K58" s="1699"/>
      <c r="L58" s="1699"/>
      <c r="M58" s="1699"/>
      <c r="N58" s="1699"/>
      <c r="O58" s="1700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0"/>
      <c r="D61" s="1820"/>
      <c r="E61" s="1820"/>
      <c r="F61" s="1820"/>
      <c r="G61" s="1820"/>
      <c r="H61" s="1820"/>
      <c r="I61" s="1820"/>
      <c r="J61" s="1820"/>
      <c r="K61" s="1820"/>
      <c r="L61" s="1820"/>
      <c r="M61" s="1820"/>
      <c r="N61" s="1820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2" t="s">
        <v>189</v>
      </c>
      <c r="C72" s="1703"/>
      <c r="D72" s="1703"/>
      <c r="E72" s="1703"/>
      <c r="F72" s="1703"/>
      <c r="G72" s="1703"/>
      <c r="H72" s="1703"/>
      <c r="I72" s="1703"/>
      <c r="J72" s="1703"/>
      <c r="K72" s="1703"/>
      <c r="L72" s="1703"/>
      <c r="M72" s="1703"/>
      <c r="N72" s="1703"/>
      <c r="O72" s="1704"/>
    </row>
    <row r="73" spans="1:16">
      <c r="B73" s="1705"/>
      <c r="C73" s="1706"/>
      <c r="D73" s="1706"/>
      <c r="E73" s="1706"/>
      <c r="F73" s="1706"/>
      <c r="G73" s="1706"/>
      <c r="H73" s="1706"/>
      <c r="I73" s="1706"/>
      <c r="J73" s="1706"/>
      <c r="K73" s="1706"/>
      <c r="L73" s="1706"/>
      <c r="M73" s="1706"/>
      <c r="N73" s="1706"/>
      <c r="O73" s="1707"/>
    </row>
    <row r="74" spans="1:16">
      <c r="B74" s="1677" t="s">
        <v>190</v>
      </c>
      <c r="C74" s="1678"/>
      <c r="D74" s="1678"/>
      <c r="E74" s="1678"/>
      <c r="F74" s="1678"/>
      <c r="G74" s="1678"/>
      <c r="H74" s="1678"/>
      <c r="I74" s="1678"/>
      <c r="J74" s="1678"/>
      <c r="K74" s="1678"/>
      <c r="L74" s="1678"/>
      <c r="M74" s="1678"/>
      <c r="N74" s="1678"/>
      <c r="O74" s="1679"/>
    </row>
    <row r="75" spans="1:16" ht="9.9499999999999993" customHeight="1">
      <c r="B75" s="1680" t="s">
        <v>191</v>
      </c>
      <c r="C75" s="1681"/>
      <c r="D75" s="1681"/>
      <c r="E75" s="1681"/>
      <c r="F75" s="1681"/>
      <c r="G75" s="1681"/>
      <c r="H75" s="1681"/>
      <c r="I75" s="1681"/>
      <c r="J75" s="1681"/>
      <c r="K75" s="1681"/>
      <c r="L75" s="1681"/>
      <c r="M75" s="1681"/>
      <c r="N75" s="1681"/>
      <c r="O75" s="1682"/>
    </row>
    <row r="76" spans="1:16" ht="13.5" customHeight="1">
      <c r="B76" s="1683" t="s">
        <v>192</v>
      </c>
      <c r="C76" s="1684"/>
      <c r="D76" s="1684"/>
      <c r="E76" s="1684"/>
      <c r="F76" s="1684"/>
      <c r="G76" s="1684"/>
      <c r="H76" s="1684"/>
      <c r="I76" s="1684"/>
      <c r="J76" s="1684"/>
      <c r="K76" s="1684"/>
      <c r="L76" s="1684"/>
      <c r="M76" s="1684"/>
      <c r="N76" s="1684"/>
      <c r="O76" s="1685"/>
    </row>
    <row r="77" spans="1:16">
      <c r="B77" s="1686"/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8"/>
    </row>
  </sheetData>
  <mergeCells count="27"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topLeftCell="B20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M1" s="1"/>
      <c r="N1" s="1"/>
      <c r="O1" s="1"/>
      <c r="P1" s="1"/>
    </row>
    <row r="2" spans="3:21">
      <c r="M2" s="1"/>
      <c r="N2" s="1"/>
      <c r="O2" s="1"/>
      <c r="P2" s="1"/>
    </row>
    <row r="3" spans="3:21" ht="21.4" customHeight="1">
      <c r="C3" s="2"/>
      <c r="G3" s="3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H4" s="5"/>
      <c r="L4" s="6" t="s">
        <v>683</v>
      </c>
      <c r="O4" s="1"/>
      <c r="P4" s="1"/>
    </row>
    <row r="5" spans="3:21" ht="19.5">
      <c r="C5" s="9"/>
      <c r="G5" s="35"/>
      <c r="H5" s="35"/>
      <c r="I5" s="35"/>
      <c r="J5" s="35"/>
      <c r="K5" s="35"/>
      <c r="L5" s="31" t="s">
        <v>1</v>
      </c>
      <c r="O5" s="1"/>
      <c r="P5" s="1"/>
    </row>
    <row r="6" spans="3:21" ht="15.75">
      <c r="C6" s="1900" t="s">
        <v>397</v>
      </c>
      <c r="D6" s="1900"/>
      <c r="E6" s="1900"/>
      <c r="F6" s="873"/>
      <c r="M6" s="1"/>
      <c r="O6" s="1"/>
      <c r="P6" s="1"/>
    </row>
    <row r="7" spans="3:21" ht="15.75" thickBot="1">
      <c r="C7" s="10" t="s">
        <v>3</v>
      </c>
      <c r="D7" s="871" t="s">
        <v>4</v>
      </c>
      <c r="E7" s="11" t="s">
        <v>5</v>
      </c>
      <c r="G7" s="580" t="s">
        <v>2</v>
      </c>
      <c r="H7" s="28"/>
      <c r="I7"/>
      <c r="J7" s="36" t="s">
        <v>334</v>
      </c>
      <c r="K7"/>
      <c r="L7"/>
      <c r="O7" s="1"/>
      <c r="P7" s="1"/>
    </row>
    <row r="8" spans="3:21" ht="15.75" thickBot="1">
      <c r="C8" s="122">
        <f>margins!BR3</f>
        <v>7.375</v>
      </c>
      <c r="D8" s="872">
        <v>99.047999999999988</v>
      </c>
      <c r="E8" s="123" t="s">
        <v>14</v>
      </c>
      <c r="F8" s="15"/>
      <c r="G8" s="12" t="s">
        <v>6</v>
      </c>
      <c r="H8" s="13">
        <v>100</v>
      </c>
      <c r="I8"/>
      <c r="J8" s="579" t="s">
        <v>374</v>
      </c>
      <c r="K8" s="578"/>
      <c r="L8" s="578"/>
      <c r="M8" s="578"/>
      <c r="N8" s="577"/>
      <c r="S8" s="477" t="s">
        <v>393</v>
      </c>
      <c r="T8" s="478"/>
      <c r="U8" s="1577">
        <v>45978.399699074071</v>
      </c>
    </row>
    <row r="9" spans="3:21" ht="15.75" thickBot="1">
      <c r="C9" s="122">
        <f>margins!BR4</f>
        <v>7.5</v>
      </c>
      <c r="D9" s="872">
        <v>99.497</v>
      </c>
      <c r="E9" s="123" t="s">
        <v>14</v>
      </c>
      <c r="F9" s="18"/>
      <c r="G9" s="16" t="s">
        <v>8</v>
      </c>
      <c r="H9" s="576">
        <v>0</v>
      </c>
      <c r="I9"/>
      <c r="J9" s="91" t="s">
        <v>375</v>
      </c>
      <c r="K9"/>
      <c r="L9"/>
      <c r="N9" s="575"/>
    </row>
    <row r="10" spans="3:21" ht="15.75" thickBot="1">
      <c r="C10" s="122">
        <f>margins!BR5</f>
        <v>7.625</v>
      </c>
      <c r="D10" s="872">
        <v>99.949999999999989</v>
      </c>
      <c r="E10" s="123" t="s">
        <v>14</v>
      </c>
      <c r="F10" s="18"/>
      <c r="G10" s="16" t="s">
        <v>10</v>
      </c>
      <c r="H10" s="718">
        <v>-0.375</v>
      </c>
      <c r="I10"/>
      <c r="J10" s="91" t="s">
        <v>333</v>
      </c>
      <c r="K10"/>
      <c r="L10"/>
      <c r="N10" s="575"/>
      <c r="P10" s="1"/>
      <c r="S10" s="494" t="s">
        <v>207</v>
      </c>
      <c r="T10" s="495" t="s">
        <v>208</v>
      </c>
      <c r="U10" s="495" t="s">
        <v>209</v>
      </c>
    </row>
    <row r="11" spans="3:21">
      <c r="C11" s="122">
        <f>margins!BR6</f>
        <v>7.75</v>
      </c>
      <c r="D11" s="872">
        <v>100.399</v>
      </c>
      <c r="E11" s="123">
        <v>99.047999999999988</v>
      </c>
      <c r="F11" s="18"/>
      <c r="G11" s="721"/>
      <c r="H11" s="722"/>
      <c r="I11"/>
      <c r="J11" s="574" t="s">
        <v>332</v>
      </c>
      <c r="K11" s="573"/>
      <c r="L11" s="573"/>
      <c r="M11" s="573"/>
      <c r="N11" s="572"/>
      <c r="P11" s="1"/>
    </row>
    <row r="12" spans="3:21" ht="15.75" thickBot="1">
      <c r="C12" s="122">
        <f>margins!BR7</f>
        <v>7.875</v>
      </c>
      <c r="D12" s="872">
        <v>100.85199999999999</v>
      </c>
      <c r="E12" s="123">
        <v>99.497</v>
      </c>
      <c r="F12" s="18"/>
      <c r="G12" s="719" t="s">
        <v>331</v>
      </c>
      <c r="H12" s="720"/>
      <c r="I12"/>
      <c r="P12" s="1"/>
    </row>
    <row r="13" spans="3:21">
      <c r="C13" s="122">
        <f>margins!BR8</f>
        <v>8</v>
      </c>
      <c r="D13" s="872">
        <v>101.404</v>
      </c>
      <c r="E13" s="123">
        <v>99.949999999999989</v>
      </c>
      <c r="F13" s="18"/>
      <c r="G13" s="32" t="s">
        <v>84</v>
      </c>
      <c r="H13" s="34">
        <v>-0.25</v>
      </c>
      <c r="I13"/>
      <c r="J13" s="1641"/>
      <c r="K13" s="1641"/>
      <c r="L13" s="1641"/>
      <c r="M13" s="1641"/>
      <c r="N13" s="1641"/>
      <c r="P13" s="1"/>
      <c r="S13" s="658" t="s">
        <v>5</v>
      </c>
      <c r="T13" s="484" t="s">
        <v>352</v>
      </c>
      <c r="U13" s="709"/>
    </row>
    <row r="14" spans="3:21">
      <c r="C14" s="122">
        <f>margins!BR9</f>
        <v>8.125</v>
      </c>
      <c r="D14" s="872">
        <v>101.85</v>
      </c>
      <c r="E14" s="123">
        <v>100.399</v>
      </c>
      <c r="F14" s="18"/>
      <c r="G14" s="32" t="s">
        <v>85</v>
      </c>
      <c r="H14" s="34">
        <v>-0.32500000000000001</v>
      </c>
      <c r="I14"/>
      <c r="J14"/>
      <c r="K14"/>
      <c r="L14"/>
      <c r="P14" s="1"/>
      <c r="S14" s="660" t="s">
        <v>211</v>
      </c>
      <c r="T14" s="485">
        <v>10</v>
      </c>
      <c r="U14" s="489">
        <f>IF(T13="No",VLOOKUP(T14,$C$8:$E$54,2,FALSE),VLOOKUP(T14,$C$8:$E$54,3,FALSE))</f>
        <v>106.544</v>
      </c>
    </row>
    <row r="15" spans="3:21" ht="15" customHeight="1">
      <c r="C15" s="122">
        <f>margins!BR10</f>
        <v>8.25</v>
      </c>
      <c r="D15" s="872">
        <v>102.29599999999999</v>
      </c>
      <c r="E15" s="123">
        <v>100.85199999999999</v>
      </c>
      <c r="F15" s="18"/>
      <c r="G15" s="32" t="s">
        <v>86</v>
      </c>
      <c r="H15" s="34">
        <v>-0.55000000000000004</v>
      </c>
      <c r="I15"/>
      <c r="J15"/>
      <c r="K15"/>
      <c r="L15"/>
      <c r="S15" s="660" t="s">
        <v>386</v>
      </c>
      <c r="T15" s="485" t="s">
        <v>21</v>
      </c>
      <c r="U15" s="489"/>
    </row>
    <row r="16" spans="3:21" ht="15" customHeight="1">
      <c r="C16" s="122">
        <f>margins!BR11</f>
        <v>8.375</v>
      </c>
      <c r="D16" s="872">
        <v>102.74199999999999</v>
      </c>
      <c r="E16" s="123">
        <v>101.404</v>
      </c>
      <c r="F16" s="18"/>
      <c r="G16" s="32" t="s">
        <v>87</v>
      </c>
      <c r="H16" s="34">
        <v>-0.65</v>
      </c>
      <c r="J16"/>
      <c r="K16"/>
      <c r="L16"/>
      <c r="S16" s="660" t="s">
        <v>487</v>
      </c>
      <c r="T16" s="485" t="s">
        <v>323</v>
      </c>
      <c r="U16" s="489">
        <f>IF(T16="Choose a Selection",0,(INDEX($I$21:$Q$27,MATCH(T16,$H$21:$H$27,0),MATCH($T$15,$I$20:$Q$20,0),1)))</f>
        <v>-1.75</v>
      </c>
    </row>
    <row r="17" spans="3:21" ht="15" customHeight="1">
      <c r="C17" s="122">
        <f>margins!BR12</f>
        <v>8.5</v>
      </c>
      <c r="D17" s="872">
        <v>103.187</v>
      </c>
      <c r="E17" s="123">
        <v>101.85</v>
      </c>
      <c r="F17" s="18"/>
      <c r="G17" s="569" t="s">
        <v>330</v>
      </c>
      <c r="H17" s="33"/>
      <c r="J17"/>
      <c r="K17"/>
      <c r="L17"/>
      <c r="S17" s="660" t="s">
        <v>488</v>
      </c>
      <c r="T17" s="485" t="s">
        <v>203</v>
      </c>
      <c r="U17" s="489">
        <f>IF(T17="Choose a Selection",0,(INDEX($I$21:$Q$55,MATCH(T17,$H$21:$H$55,0),MATCH($T$15,$I$20:$Q$20,0),1)))</f>
        <v>0</v>
      </c>
    </row>
    <row r="18" spans="3:21" ht="15" customHeight="1">
      <c r="C18" s="122">
        <f>margins!BR13</f>
        <v>8.625</v>
      </c>
      <c r="D18" s="872">
        <v>103.55999999999999</v>
      </c>
      <c r="E18" s="123">
        <v>102.29599999999999</v>
      </c>
      <c r="F18" s="18"/>
      <c r="J18"/>
      <c r="K18"/>
      <c r="L18"/>
      <c r="S18" s="660" t="s">
        <v>489</v>
      </c>
      <c r="T18" s="485" t="s">
        <v>203</v>
      </c>
      <c r="U18" s="489">
        <f>IF(T18="Choose a Selection",0,(INDEX($I$29:$Q$35,MATCH(T18,$H$29:$H$35,0),MATCH($T$15,$I$20:$Q$20,0),1)))</f>
        <v>0</v>
      </c>
    </row>
    <row r="19" spans="3:21" ht="15" customHeight="1">
      <c r="C19" s="122">
        <f>margins!BR14</f>
        <v>8.75</v>
      </c>
      <c r="D19" s="872">
        <v>103.93299999999999</v>
      </c>
      <c r="E19" s="123">
        <v>102.74199999999999</v>
      </c>
      <c r="F19" s="18"/>
      <c r="G19" s="1912" t="s">
        <v>244</v>
      </c>
      <c r="H19" s="1913"/>
      <c r="I19" s="1914" t="s">
        <v>329</v>
      </c>
      <c r="J19" s="1915"/>
      <c r="K19" s="1915"/>
      <c r="L19" s="1915"/>
      <c r="M19" s="1915"/>
      <c r="N19" s="1915"/>
      <c r="O19" s="1915"/>
      <c r="P19" s="1915"/>
      <c r="Q19" s="1916"/>
      <c r="S19" s="660" t="s">
        <v>490</v>
      </c>
      <c r="T19" s="485" t="s">
        <v>203</v>
      </c>
      <c r="U19" s="489">
        <f t="shared" ref="U19:U24" si="0">IF(T19="Choose a Selection",0,(INDEX($I$21:$Q$55,MATCH(T19,$H$21:$H$55,0),MATCH($T$15,$I$20:$Q$20,0),1)))</f>
        <v>0</v>
      </c>
    </row>
    <row r="20" spans="3:21" ht="15" customHeight="1">
      <c r="C20" s="122">
        <f>margins!BR15</f>
        <v>8.875</v>
      </c>
      <c r="D20" s="872">
        <v>104.30799999999999</v>
      </c>
      <c r="E20" s="123">
        <v>103.187</v>
      </c>
      <c r="F20" s="18"/>
      <c r="G20" s="101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734" t="s">
        <v>23</v>
      </c>
      <c r="S20" s="660" t="s">
        <v>210</v>
      </c>
      <c r="T20" s="485" t="s">
        <v>203</v>
      </c>
      <c r="U20" s="489">
        <f t="shared" si="0"/>
        <v>0</v>
      </c>
    </row>
    <row r="21" spans="3:21" ht="15" customHeight="1">
      <c r="C21" s="122">
        <f>margins!BR16</f>
        <v>9</v>
      </c>
      <c r="D21" s="872">
        <v>104.68299999999999</v>
      </c>
      <c r="E21" s="123">
        <v>103.55999999999999</v>
      </c>
      <c r="F21" s="18"/>
      <c r="G21" s="1901" t="s">
        <v>202</v>
      </c>
      <c r="H21" s="740" t="s">
        <v>410</v>
      </c>
      <c r="I21" s="543">
        <v>3</v>
      </c>
      <c r="J21" s="533">
        <v>2.875</v>
      </c>
      <c r="K21" s="561">
        <v>2.875</v>
      </c>
      <c r="L21" s="561">
        <v>2.75</v>
      </c>
      <c r="M21" s="561">
        <v>2.5</v>
      </c>
      <c r="N21" s="561">
        <v>2</v>
      </c>
      <c r="O21" s="561">
        <v>0.875</v>
      </c>
      <c r="P21" s="561">
        <v>-2</v>
      </c>
      <c r="Q21" s="560">
        <v>-3.5</v>
      </c>
      <c r="S21" s="660" t="s">
        <v>310</v>
      </c>
      <c r="T21" s="485" t="s">
        <v>203</v>
      </c>
      <c r="U21" s="489">
        <f t="shared" si="0"/>
        <v>0</v>
      </c>
    </row>
    <row r="22" spans="3:21" ht="15" customHeight="1">
      <c r="C22" s="122">
        <f>margins!BR17</f>
        <v>9.125</v>
      </c>
      <c r="D22" s="872">
        <v>105.05799999999999</v>
      </c>
      <c r="E22" s="123">
        <v>103.93299999999999</v>
      </c>
      <c r="F22" s="18"/>
      <c r="G22" s="1902"/>
      <c r="H22" s="735" t="s">
        <v>325</v>
      </c>
      <c r="I22" s="736">
        <v>3</v>
      </c>
      <c r="J22" s="737">
        <v>2.875</v>
      </c>
      <c r="K22" s="738">
        <v>2.875</v>
      </c>
      <c r="L22" s="738">
        <v>2.625</v>
      </c>
      <c r="M22" s="738">
        <v>2.25</v>
      </c>
      <c r="N22" s="738">
        <v>1.375</v>
      </c>
      <c r="O22" s="738">
        <v>0.5</v>
      </c>
      <c r="P22" s="738">
        <v>-2.875</v>
      </c>
      <c r="Q22" s="739">
        <v>-4.5</v>
      </c>
      <c r="S22" s="660" t="s">
        <v>60</v>
      </c>
      <c r="T22" s="485" t="s">
        <v>203</v>
      </c>
      <c r="U22" s="489">
        <f t="shared" si="0"/>
        <v>0</v>
      </c>
    </row>
    <row r="23" spans="3:21" ht="15" customHeight="1">
      <c r="C23" s="122">
        <f>margins!BR18</f>
        <v>9.25</v>
      </c>
      <c r="D23" s="872">
        <v>105.43199999999999</v>
      </c>
      <c r="E23" s="123">
        <v>104.30799999999999</v>
      </c>
      <c r="F23" s="18"/>
      <c r="G23" s="1902"/>
      <c r="H23" s="556" t="s">
        <v>324</v>
      </c>
      <c r="I23" s="541">
        <v>2</v>
      </c>
      <c r="J23" s="540">
        <v>1.875</v>
      </c>
      <c r="K23" s="554">
        <v>1.875</v>
      </c>
      <c r="L23" s="554">
        <v>1.375</v>
      </c>
      <c r="M23" s="554">
        <v>1</v>
      </c>
      <c r="N23" s="554">
        <v>0.75</v>
      </c>
      <c r="O23" s="554">
        <v>-0.5</v>
      </c>
      <c r="P23" s="554">
        <v>-4</v>
      </c>
      <c r="Q23" s="558">
        <v>-6.5</v>
      </c>
      <c r="S23" s="660" t="s">
        <v>45</v>
      </c>
      <c r="T23" s="485" t="s">
        <v>203</v>
      </c>
      <c r="U23" s="489">
        <f t="shared" si="0"/>
        <v>0</v>
      </c>
    </row>
    <row r="24" spans="3:21" ht="15" customHeight="1">
      <c r="C24" s="122">
        <f>margins!BR19</f>
        <v>9.375</v>
      </c>
      <c r="D24" s="872">
        <v>105.806</v>
      </c>
      <c r="E24" s="123">
        <v>104.68299999999999</v>
      </c>
      <c r="F24" s="18"/>
      <c r="G24" s="1902"/>
      <c r="H24" s="556" t="s">
        <v>323</v>
      </c>
      <c r="I24" s="555">
        <v>1.25</v>
      </c>
      <c r="J24" s="554">
        <v>1.25</v>
      </c>
      <c r="K24" s="554">
        <v>1.25</v>
      </c>
      <c r="L24" s="554">
        <v>1</v>
      </c>
      <c r="M24" s="554">
        <v>0.625</v>
      </c>
      <c r="N24" s="554">
        <v>0.25</v>
      </c>
      <c r="O24" s="554">
        <v>-1.75</v>
      </c>
      <c r="P24" s="554">
        <v>-5.5</v>
      </c>
      <c r="Q24" s="558">
        <v>-8.5</v>
      </c>
      <c r="S24" s="660" t="s">
        <v>681</v>
      </c>
      <c r="T24" s="485" t="s">
        <v>203</v>
      </c>
      <c r="U24" s="489">
        <f t="shared" si="0"/>
        <v>0</v>
      </c>
    </row>
    <row r="25" spans="3:21" ht="15" customHeight="1">
      <c r="C25" s="122">
        <f>margins!BR20</f>
        <v>9.5</v>
      </c>
      <c r="D25" s="872">
        <v>106.17899999999999</v>
      </c>
      <c r="E25" s="123">
        <v>105.05799999999999</v>
      </c>
      <c r="F25" s="18"/>
      <c r="G25" s="1902"/>
      <c r="H25" s="556" t="s">
        <v>322</v>
      </c>
      <c r="I25" s="555">
        <v>0.875</v>
      </c>
      <c r="J25" s="554">
        <v>0.875</v>
      </c>
      <c r="K25" s="554">
        <v>0.875</v>
      </c>
      <c r="L25" s="554">
        <v>0.5</v>
      </c>
      <c r="M25" s="554">
        <v>0.125</v>
      </c>
      <c r="N25" s="554">
        <v>-0.5</v>
      </c>
      <c r="O25" s="554">
        <v>-2.75</v>
      </c>
      <c r="P25" s="554">
        <v>-7</v>
      </c>
      <c r="Q25" s="558" t="s">
        <v>14</v>
      </c>
      <c r="S25" s="660" t="s">
        <v>62</v>
      </c>
      <c r="T25" s="485" t="s">
        <v>203</v>
      </c>
      <c r="U25" s="489">
        <f>IF(T25="Choose a Selection",0,(INDEX($I$21:$Q$56,MATCH(T25,$H$21:$H$56,0),MATCH($T$15,$I$20:$Q$20,0),1)))</f>
        <v>0</v>
      </c>
    </row>
    <row r="26" spans="3:21" ht="15" customHeight="1">
      <c r="C26" s="122">
        <f>margins!BR21</f>
        <v>9.625</v>
      </c>
      <c r="D26" s="872">
        <v>106.544</v>
      </c>
      <c r="E26" s="123">
        <v>105.43199999999999</v>
      </c>
      <c r="F26" s="18"/>
      <c r="G26" s="1902"/>
      <c r="H26" s="733" t="s">
        <v>321</v>
      </c>
      <c r="I26" s="723">
        <v>0.375</v>
      </c>
      <c r="J26" s="724">
        <v>0.375</v>
      </c>
      <c r="K26" s="724">
        <v>0.375</v>
      </c>
      <c r="L26" s="724">
        <v>-0.125</v>
      </c>
      <c r="M26" s="724">
        <v>-1</v>
      </c>
      <c r="N26" s="724">
        <v>-2</v>
      </c>
      <c r="O26" s="724">
        <v>-5</v>
      </c>
      <c r="P26" s="724">
        <v>-8</v>
      </c>
      <c r="Q26" s="725" t="s">
        <v>14</v>
      </c>
      <c r="S26" s="660" t="s">
        <v>217</v>
      </c>
      <c r="T26" s="485">
        <v>15</v>
      </c>
      <c r="U26" s="489">
        <f>IF(T26=15,0,H10)</f>
        <v>0</v>
      </c>
    </row>
    <row r="27" spans="3:21" ht="15" customHeight="1" thickBot="1">
      <c r="C27" s="122">
        <f>margins!BR22</f>
        <v>9.75</v>
      </c>
      <c r="D27" s="872">
        <v>106.908</v>
      </c>
      <c r="E27" s="123">
        <v>105.806</v>
      </c>
      <c r="F27" s="18"/>
      <c r="G27" s="1903"/>
      <c r="H27" s="552" t="s">
        <v>320</v>
      </c>
      <c r="I27" s="551">
        <v>-0.25</v>
      </c>
      <c r="J27" s="550">
        <v>-0.5</v>
      </c>
      <c r="K27" s="550">
        <v>-0.75</v>
      </c>
      <c r="L27" s="550">
        <v>-1</v>
      </c>
      <c r="M27" s="550">
        <v>-3</v>
      </c>
      <c r="N27" s="550">
        <v>-4</v>
      </c>
      <c r="O27" s="550" t="s">
        <v>14</v>
      </c>
      <c r="P27" s="550" t="s">
        <v>14</v>
      </c>
      <c r="Q27" s="564" t="s">
        <v>14</v>
      </c>
      <c r="S27" s="662" t="s">
        <v>218</v>
      </c>
      <c r="T27" s="486"/>
      <c r="U27" s="490">
        <f>SUM(U16:U26)</f>
        <v>-1.75</v>
      </c>
    </row>
    <row r="28" spans="3:21" ht="15" customHeight="1" thickBot="1">
      <c r="C28" s="122">
        <f>margins!BR23</f>
        <v>9.875</v>
      </c>
      <c r="D28" s="872">
        <v>107.265</v>
      </c>
      <c r="E28" s="123">
        <v>106.17899999999999</v>
      </c>
      <c r="F28" s="18"/>
      <c r="G28" s="862" t="s">
        <v>377</v>
      </c>
      <c r="H28" s="863" t="s">
        <v>377</v>
      </c>
      <c r="I28" s="855">
        <v>0</v>
      </c>
      <c r="J28" s="856">
        <v>0</v>
      </c>
      <c r="K28" s="856">
        <v>0</v>
      </c>
      <c r="L28" s="856">
        <v>0</v>
      </c>
      <c r="M28" s="856">
        <v>-0.125</v>
      </c>
      <c r="N28" s="856">
        <v>-0.125</v>
      </c>
      <c r="O28" s="856">
        <v>-0.125</v>
      </c>
      <c r="P28" s="856">
        <v>-0.25</v>
      </c>
      <c r="Q28" s="857">
        <v>-0.375</v>
      </c>
      <c r="S28" s="473"/>
      <c r="T28" s="474"/>
      <c r="U28" s="483"/>
    </row>
    <row r="29" spans="3:21" ht="15" customHeight="1" thickBot="1">
      <c r="C29" s="122">
        <f>margins!BR24</f>
        <v>10</v>
      </c>
      <c r="D29" s="872">
        <v>107.622</v>
      </c>
      <c r="E29" s="123">
        <v>106.544</v>
      </c>
      <c r="F29" s="18"/>
      <c r="G29" s="858"/>
      <c r="H29" s="740" t="s">
        <v>410</v>
      </c>
      <c r="I29" s="543">
        <v>3</v>
      </c>
      <c r="J29" s="533">
        <v>2.875</v>
      </c>
      <c r="K29" s="561">
        <v>2.875</v>
      </c>
      <c r="L29" s="561">
        <v>2.75</v>
      </c>
      <c r="M29" s="561">
        <v>2.5</v>
      </c>
      <c r="N29" s="561">
        <v>2</v>
      </c>
      <c r="O29" s="561">
        <v>0.875</v>
      </c>
      <c r="P29" s="561">
        <v>-2.25</v>
      </c>
      <c r="Q29" s="560" t="s">
        <v>14</v>
      </c>
      <c r="S29" s="475" t="s">
        <v>219</v>
      </c>
      <c r="T29" s="476"/>
      <c r="U29" s="663">
        <f>IF(ISNUMBER(MATCH("NA", U16:U26, 0)), "NA",MIN(H8,(U14+U27)))</f>
        <v>100</v>
      </c>
    </row>
    <row r="30" spans="3:21" ht="15" customHeight="1" thickBot="1">
      <c r="C30" s="122">
        <f>margins!BR25</f>
        <v>10.125</v>
      </c>
      <c r="D30" s="872">
        <v>107.872</v>
      </c>
      <c r="E30" s="123">
        <v>106.908</v>
      </c>
      <c r="F30" s="18"/>
      <c r="G30" s="859"/>
      <c r="H30" s="735" t="s">
        <v>325</v>
      </c>
      <c r="I30" s="736">
        <v>3</v>
      </c>
      <c r="J30" s="737">
        <v>2.875</v>
      </c>
      <c r="K30" s="738">
        <v>2.875</v>
      </c>
      <c r="L30" s="738">
        <v>2.625</v>
      </c>
      <c r="M30" s="738">
        <v>2.25</v>
      </c>
      <c r="N30" s="738">
        <v>1.375</v>
      </c>
      <c r="O30" s="738">
        <v>0.5</v>
      </c>
      <c r="P30" s="738">
        <v>-3.125</v>
      </c>
      <c r="Q30" s="739" t="s">
        <v>14</v>
      </c>
      <c r="S30" s="470"/>
      <c r="T30" s="470"/>
      <c r="U30" s="470"/>
    </row>
    <row r="31" spans="3:21" ht="15" customHeight="1" thickBot="1">
      <c r="C31" s="122">
        <f>margins!BR26</f>
        <v>10.25</v>
      </c>
      <c r="D31" s="872">
        <v>108.122</v>
      </c>
      <c r="E31" s="123">
        <v>107.265</v>
      </c>
      <c r="F31" s="18"/>
      <c r="G31" s="861" t="s">
        <v>5</v>
      </c>
      <c r="H31" s="556" t="s">
        <v>324</v>
      </c>
      <c r="I31" s="541">
        <v>2</v>
      </c>
      <c r="J31" s="540">
        <v>1.875</v>
      </c>
      <c r="K31" s="554">
        <v>1.875</v>
      </c>
      <c r="L31" s="554">
        <v>1.375</v>
      </c>
      <c r="M31" s="554">
        <v>1</v>
      </c>
      <c r="N31" s="554">
        <v>0.75</v>
      </c>
      <c r="O31" s="554">
        <v>-0.5</v>
      </c>
      <c r="P31" s="554">
        <v>-4.25</v>
      </c>
      <c r="Q31" s="558" t="s">
        <v>14</v>
      </c>
      <c r="S31" s="846" t="s">
        <v>485</v>
      </c>
      <c r="T31" s="847"/>
      <c r="U31" s="848"/>
    </row>
    <row r="32" spans="3:21" ht="15" customHeight="1">
      <c r="C32" s="122">
        <f>margins!BR27</f>
        <v>10.375</v>
      </c>
      <c r="D32" s="872">
        <v>108.372</v>
      </c>
      <c r="E32" s="123">
        <v>107.622</v>
      </c>
      <c r="F32" s="18"/>
      <c r="G32" s="859" t="s">
        <v>38</v>
      </c>
      <c r="H32" s="556" t="s">
        <v>323</v>
      </c>
      <c r="I32" s="555">
        <v>1.25</v>
      </c>
      <c r="J32" s="554">
        <v>1.25</v>
      </c>
      <c r="K32" s="554">
        <v>1.25</v>
      </c>
      <c r="L32" s="554">
        <v>1</v>
      </c>
      <c r="M32" s="554">
        <v>0.625</v>
      </c>
      <c r="N32" s="554">
        <v>0.25</v>
      </c>
      <c r="O32" s="554">
        <v>-1.75</v>
      </c>
      <c r="P32" s="554">
        <v>-6</v>
      </c>
      <c r="Q32" s="558" t="s">
        <v>14</v>
      </c>
    </row>
    <row r="33" spans="2:17" ht="15" customHeight="1">
      <c r="C33" s="122">
        <f>margins!BR28</f>
        <v>10.5</v>
      </c>
      <c r="D33" s="872">
        <v>108.72199999999999</v>
      </c>
      <c r="E33" s="123">
        <v>107.872</v>
      </c>
      <c r="F33" s="18"/>
      <c r="G33" s="651" t="s">
        <v>39</v>
      </c>
      <c r="H33" s="556" t="s">
        <v>322</v>
      </c>
      <c r="I33" s="555">
        <v>0.875</v>
      </c>
      <c r="J33" s="554">
        <v>0.875</v>
      </c>
      <c r="K33" s="554">
        <v>0.875</v>
      </c>
      <c r="L33" s="554">
        <v>0.5</v>
      </c>
      <c r="M33" s="554">
        <v>0.125</v>
      </c>
      <c r="N33" s="554">
        <v>-0.5</v>
      </c>
      <c r="O33" s="554">
        <v>-2.75</v>
      </c>
      <c r="P33" s="554" t="s">
        <v>14</v>
      </c>
      <c r="Q33" s="558" t="s">
        <v>14</v>
      </c>
    </row>
    <row r="34" spans="2:17">
      <c r="C34" s="122">
        <f>margins!BR29</f>
        <v>10.625</v>
      </c>
      <c r="D34" s="872">
        <v>108.97199999999999</v>
      </c>
      <c r="E34" s="123">
        <v>108.122</v>
      </c>
      <c r="F34" s="18"/>
      <c r="G34" s="651" t="s">
        <v>89</v>
      </c>
      <c r="H34" s="733" t="s">
        <v>321</v>
      </c>
      <c r="I34" s="723">
        <v>0.125</v>
      </c>
      <c r="J34" s="724">
        <v>0.125</v>
      </c>
      <c r="K34" s="724">
        <v>0.125</v>
      </c>
      <c r="L34" s="724">
        <v>-0.375</v>
      </c>
      <c r="M34" s="724">
        <v>-1.25</v>
      </c>
      <c r="N34" s="724">
        <v>-2.25</v>
      </c>
      <c r="O34" s="724">
        <v>-5.5</v>
      </c>
      <c r="P34" s="724" t="s">
        <v>14</v>
      </c>
      <c r="Q34" s="725" t="s">
        <v>14</v>
      </c>
    </row>
    <row r="35" spans="2:17">
      <c r="C35" s="122">
        <f>margins!BR30</f>
        <v>10.75</v>
      </c>
      <c r="D35" s="872">
        <v>109.22199999999999</v>
      </c>
      <c r="E35" s="123">
        <v>108.372</v>
      </c>
      <c r="F35" s="18"/>
      <c r="G35" s="860"/>
      <c r="H35" s="552" t="s">
        <v>320</v>
      </c>
      <c r="I35" s="551">
        <v>-0.5</v>
      </c>
      <c r="J35" s="550">
        <v>-0.75</v>
      </c>
      <c r="K35" s="550">
        <v>-1</v>
      </c>
      <c r="L35" s="550">
        <v>-1.25</v>
      </c>
      <c r="M35" s="550">
        <v>-3.25</v>
      </c>
      <c r="N35" s="550">
        <v>-4.5</v>
      </c>
      <c r="O35" s="550" t="s">
        <v>14</v>
      </c>
      <c r="P35" s="550" t="s">
        <v>14</v>
      </c>
      <c r="Q35" s="564" t="s">
        <v>14</v>
      </c>
    </row>
    <row r="36" spans="2:17">
      <c r="C36" s="122">
        <f>margins!BR31</f>
        <v>10.875</v>
      </c>
      <c r="D36" s="872">
        <v>109.47199999999999</v>
      </c>
      <c r="E36" s="123">
        <v>108.72199999999999</v>
      </c>
      <c r="F36" s="18"/>
      <c r="G36" s="1901" t="s">
        <v>486</v>
      </c>
      <c r="H36" s="1389" t="s">
        <v>43</v>
      </c>
      <c r="I36" s="1390">
        <v>0</v>
      </c>
      <c r="J36" s="1391">
        <v>0</v>
      </c>
      <c r="K36" s="1391">
        <v>0</v>
      </c>
      <c r="L36" s="1391">
        <v>0</v>
      </c>
      <c r="M36" s="1391">
        <v>-0.125</v>
      </c>
      <c r="N36" s="1391">
        <v>-0.125</v>
      </c>
      <c r="O36" s="1391">
        <v>-0.125</v>
      </c>
      <c r="P36" s="1391">
        <v>-0.25</v>
      </c>
      <c r="Q36" s="1392" t="s">
        <v>14</v>
      </c>
    </row>
    <row r="37" spans="2:17">
      <c r="C37" s="122">
        <f>margins!BR32</f>
        <v>11</v>
      </c>
      <c r="D37" s="872">
        <v>109.72199999999999</v>
      </c>
      <c r="E37" s="123">
        <v>108.97199999999999</v>
      </c>
      <c r="G37" s="1902"/>
      <c r="H37" s="1394" t="s">
        <v>44</v>
      </c>
      <c r="I37" s="852">
        <v>0</v>
      </c>
      <c r="J37" s="853">
        <v>0</v>
      </c>
      <c r="K37" s="853">
        <v>0</v>
      </c>
      <c r="L37" s="853">
        <v>0</v>
      </c>
      <c r="M37" s="853">
        <v>-0.125</v>
      </c>
      <c r="N37" s="853">
        <v>-0.125</v>
      </c>
      <c r="O37" s="853">
        <v>-0.125</v>
      </c>
      <c r="P37" s="853">
        <v>-0.25</v>
      </c>
      <c r="Q37" s="854" t="s">
        <v>14</v>
      </c>
    </row>
    <row r="38" spans="2:17">
      <c r="C38" s="122">
        <f>margins!BR33</f>
        <v>11.125</v>
      </c>
      <c r="D38" s="872">
        <v>109.97199999999999</v>
      </c>
      <c r="E38" s="123">
        <v>109.22199999999999</v>
      </c>
      <c r="G38" s="1903"/>
      <c r="H38" s="1393" t="s">
        <v>89</v>
      </c>
      <c r="I38" s="852">
        <v>-0.25</v>
      </c>
      <c r="J38" s="853">
        <v>-0.25</v>
      </c>
      <c r="K38" s="853">
        <v>-0.25</v>
      </c>
      <c r="L38" s="853">
        <v>-0.25</v>
      </c>
      <c r="M38" s="853">
        <v>-0.25</v>
      </c>
      <c r="N38" s="853">
        <v>-0.375</v>
      </c>
      <c r="O38" s="853">
        <v>-0.375</v>
      </c>
      <c r="P38" s="853" t="s">
        <v>14</v>
      </c>
      <c r="Q38" s="854" t="s">
        <v>14</v>
      </c>
    </row>
    <row r="39" spans="2:17">
      <c r="C39" s="122">
        <f>margins!BR34</f>
        <v>11.25</v>
      </c>
      <c r="D39" s="872">
        <v>110.22199999999999</v>
      </c>
      <c r="E39" s="123">
        <v>109.47199999999999</v>
      </c>
      <c r="G39" s="1909" t="s">
        <v>210</v>
      </c>
      <c r="H39" s="620" t="s">
        <v>314</v>
      </c>
      <c r="I39" s="543">
        <v>0.10000000000002274</v>
      </c>
      <c r="J39" s="533">
        <v>0.10000000000002274</v>
      </c>
      <c r="K39" s="533">
        <v>0.10000000000002274</v>
      </c>
      <c r="L39" s="533">
        <v>0.10000000000002274</v>
      </c>
      <c r="M39" s="533">
        <v>0.10000000000002274</v>
      </c>
      <c r="N39" s="533">
        <v>0.10000000000002274</v>
      </c>
      <c r="O39" s="533">
        <v>0.10000000000002274</v>
      </c>
      <c r="P39" s="533">
        <v>0.10000000000002274</v>
      </c>
      <c r="Q39" s="701">
        <v>0.10000000000002274</v>
      </c>
    </row>
    <row r="40" spans="2:17">
      <c r="C40" s="122">
        <f>margins!BR35</f>
        <v>11.375</v>
      </c>
      <c r="D40" s="872">
        <v>110.47199999999999</v>
      </c>
      <c r="E40" s="123">
        <v>109.72199999999999</v>
      </c>
      <c r="G40" s="1910"/>
      <c r="H40" s="542" t="s">
        <v>313</v>
      </c>
      <c r="I40" s="541">
        <v>0.10000000000002274</v>
      </c>
      <c r="J40" s="540">
        <v>0.10000000000002274</v>
      </c>
      <c r="K40" s="540">
        <v>0.10000000000002274</v>
      </c>
      <c r="L40" s="540">
        <v>0.10000000000002274</v>
      </c>
      <c r="M40" s="540">
        <v>0.10000000000002274</v>
      </c>
      <c r="N40" s="540">
        <v>0.10000000000002274</v>
      </c>
      <c r="O40" s="540">
        <v>0.10000000000002274</v>
      </c>
      <c r="P40" s="540">
        <v>0.10000000000002274</v>
      </c>
      <c r="Q40" s="702">
        <v>0.10000000000002274</v>
      </c>
    </row>
    <row r="41" spans="2:17" ht="15" customHeight="1">
      <c r="C41" s="122">
        <f>margins!BR36</f>
        <v>11.5</v>
      </c>
      <c r="D41" s="872">
        <v>110.72199999999999</v>
      </c>
      <c r="E41" s="123">
        <v>109.97199999999999</v>
      </c>
      <c r="G41" s="1910"/>
      <c r="H41" s="542" t="s">
        <v>312</v>
      </c>
      <c r="I41" s="541">
        <v>0.10000000000002274</v>
      </c>
      <c r="J41" s="540">
        <v>0.10000000000002274</v>
      </c>
      <c r="K41" s="540">
        <v>0.10000000000002274</v>
      </c>
      <c r="L41" s="540">
        <v>0.10000000000002274</v>
      </c>
      <c r="M41" s="540">
        <v>0.10000000000002274</v>
      </c>
      <c r="N41" s="540">
        <v>0.10000000000002274</v>
      </c>
      <c r="O41" s="540">
        <v>0.10000000000002274</v>
      </c>
      <c r="P41" s="540">
        <v>0.10000000000002274</v>
      </c>
      <c r="Q41" s="702">
        <v>0.10000000000002274</v>
      </c>
    </row>
    <row r="42" spans="2:17">
      <c r="C42" s="122">
        <f>margins!BR37</f>
        <v>11.625</v>
      </c>
      <c r="D42" s="872">
        <v>110.84699999999999</v>
      </c>
      <c r="E42" s="123">
        <v>110.22199999999999</v>
      </c>
      <c r="G42" s="1910"/>
      <c r="H42" s="542" t="s">
        <v>396</v>
      </c>
      <c r="I42" s="541">
        <v>0.10000000000002274</v>
      </c>
      <c r="J42" s="540">
        <v>0.10000000000002274</v>
      </c>
      <c r="K42" s="540">
        <v>0.10000000000002274</v>
      </c>
      <c r="L42" s="540">
        <v>0.10000000000002274</v>
      </c>
      <c r="M42" s="540">
        <v>0.10000000000002274</v>
      </c>
      <c r="N42" s="540">
        <v>0.10000000000002274</v>
      </c>
      <c r="O42" s="540">
        <v>0.10000000000002274</v>
      </c>
      <c r="P42" s="540">
        <v>0.10000000000002274</v>
      </c>
      <c r="Q42" s="702">
        <v>0.10000000000002274</v>
      </c>
    </row>
    <row r="43" spans="2:17">
      <c r="C43" s="122">
        <f>margins!BR38</f>
        <v>11.75</v>
      </c>
      <c r="D43" s="872">
        <v>110.97199999999999</v>
      </c>
      <c r="E43" s="123">
        <v>110.47199999999999</v>
      </c>
      <c r="G43" s="1911"/>
      <c r="H43" s="602" t="s">
        <v>311</v>
      </c>
      <c r="I43" s="697">
        <v>0</v>
      </c>
      <c r="J43" s="522">
        <v>0</v>
      </c>
      <c r="K43" s="522">
        <v>0</v>
      </c>
      <c r="L43" s="522">
        <v>0</v>
      </c>
      <c r="M43" s="522">
        <v>0</v>
      </c>
      <c r="N43" s="522">
        <v>0</v>
      </c>
      <c r="O43" s="522">
        <v>0</v>
      </c>
      <c r="P43" s="522">
        <v>0</v>
      </c>
      <c r="Q43" s="703">
        <v>0</v>
      </c>
    </row>
    <row r="44" spans="2:17" ht="15" customHeight="1">
      <c r="C44" s="122">
        <f>margins!BR39</f>
        <v>11.875</v>
      </c>
      <c r="D44" s="872">
        <v>111.09699999999999</v>
      </c>
      <c r="E44" s="123">
        <v>110.72199999999999</v>
      </c>
      <c r="G44" s="1909" t="s">
        <v>310</v>
      </c>
      <c r="H44" s="539" t="s">
        <v>706</v>
      </c>
      <c r="I44" s="519">
        <v>-0.25</v>
      </c>
      <c r="J44" s="518">
        <v>-0.25</v>
      </c>
      <c r="K44" s="518">
        <v>-0.25</v>
      </c>
      <c r="L44" s="518">
        <v>-0.25</v>
      </c>
      <c r="M44" s="518">
        <v>-0.25</v>
      </c>
      <c r="N44" s="518">
        <v>-0.25</v>
      </c>
      <c r="O44" s="518">
        <v>-0.25</v>
      </c>
      <c r="P44" s="518">
        <v>-0.375</v>
      </c>
      <c r="Q44" s="704">
        <v>-0.375</v>
      </c>
    </row>
    <row r="45" spans="2:17">
      <c r="B45" s="22"/>
      <c r="C45" s="122">
        <f>margins!BR40</f>
        <v>12</v>
      </c>
      <c r="D45" s="872">
        <v>111.22199999999999</v>
      </c>
      <c r="E45" s="123">
        <v>110.84699999999999</v>
      </c>
      <c r="G45" s="1910"/>
      <c r="H45" s="539" t="s">
        <v>412</v>
      </c>
      <c r="I45" s="514">
        <v>-0.125</v>
      </c>
      <c r="J45" s="513">
        <v>-0.125</v>
      </c>
      <c r="K45" s="513">
        <v>-0.125</v>
      </c>
      <c r="L45" s="513">
        <v>-0.125</v>
      </c>
      <c r="M45" s="513">
        <v>-0.125</v>
      </c>
      <c r="N45" s="513">
        <v>-0.125</v>
      </c>
      <c r="O45" s="513">
        <v>-0.125</v>
      </c>
      <c r="P45" s="513">
        <v>-0.25</v>
      </c>
      <c r="Q45" s="512">
        <v>-0.25</v>
      </c>
    </row>
    <row r="46" spans="2:17" ht="15" customHeight="1">
      <c r="C46" s="122">
        <f>margins!BR41</f>
        <v>12.125</v>
      </c>
      <c r="D46" s="872">
        <v>111.34699999999999</v>
      </c>
      <c r="E46" s="123">
        <v>110.97199999999999</v>
      </c>
      <c r="G46" s="1910"/>
      <c r="H46" s="538" t="s">
        <v>413</v>
      </c>
      <c r="I46" s="514">
        <v>0</v>
      </c>
      <c r="J46" s="513">
        <v>0</v>
      </c>
      <c r="K46" s="513">
        <v>0</v>
      </c>
      <c r="L46" s="513">
        <v>0</v>
      </c>
      <c r="M46" s="513">
        <v>0</v>
      </c>
      <c r="N46" s="513">
        <v>0</v>
      </c>
      <c r="O46" s="513">
        <v>0</v>
      </c>
      <c r="P46" s="513">
        <v>0</v>
      </c>
      <c r="Q46" s="512">
        <v>0</v>
      </c>
    </row>
    <row r="47" spans="2:17">
      <c r="C47" s="122">
        <f>margins!BR42</f>
        <v>12.25</v>
      </c>
      <c r="D47" s="872">
        <v>111.47199999999999</v>
      </c>
      <c r="E47" s="123">
        <v>111.09699999999999</v>
      </c>
      <c r="G47" s="1910"/>
      <c r="H47" s="538" t="s">
        <v>414</v>
      </c>
      <c r="I47" s="514">
        <v>0.25</v>
      </c>
      <c r="J47" s="513">
        <v>0.25</v>
      </c>
      <c r="K47" s="513">
        <v>0.25</v>
      </c>
      <c r="L47" s="513">
        <v>0.25</v>
      </c>
      <c r="M47" s="513">
        <v>0.25</v>
      </c>
      <c r="N47" s="513">
        <v>0.25</v>
      </c>
      <c r="O47" s="513">
        <v>0.25</v>
      </c>
      <c r="P47" s="513">
        <v>0</v>
      </c>
      <c r="Q47" s="512">
        <v>0</v>
      </c>
    </row>
    <row r="48" spans="2:17">
      <c r="C48" s="122">
        <f>margins!BR43</f>
        <v>12.375</v>
      </c>
      <c r="D48" s="872">
        <v>111.59699999999999</v>
      </c>
      <c r="E48" s="123">
        <v>111.22199999999999</v>
      </c>
      <c r="G48" s="1911"/>
      <c r="H48" s="537" t="s">
        <v>415</v>
      </c>
      <c r="I48" s="975">
        <v>0.375</v>
      </c>
      <c r="J48" s="976">
        <v>0.375</v>
      </c>
      <c r="K48" s="976">
        <v>0.375</v>
      </c>
      <c r="L48" s="976">
        <v>0.375</v>
      </c>
      <c r="M48" s="976">
        <v>0.375</v>
      </c>
      <c r="N48" s="976">
        <v>0.375</v>
      </c>
      <c r="O48" s="976">
        <v>0.375</v>
      </c>
      <c r="P48" s="976">
        <v>0</v>
      </c>
      <c r="Q48" s="977" t="s">
        <v>14</v>
      </c>
    </row>
    <row r="49" spans="3:17">
      <c r="C49" s="122">
        <f>margins!BR44</f>
        <v>12.5</v>
      </c>
      <c r="D49" s="872">
        <v>111.72199999999999</v>
      </c>
      <c r="E49" s="123">
        <v>111.34699999999999</v>
      </c>
      <c r="G49" s="1907" t="s">
        <v>60</v>
      </c>
      <c r="H49" s="603" t="s">
        <v>29</v>
      </c>
      <c r="I49" s="526">
        <v>-1</v>
      </c>
      <c r="J49" s="525">
        <v>-1</v>
      </c>
      <c r="K49" s="525">
        <v>-1</v>
      </c>
      <c r="L49" s="525">
        <v>-1</v>
      </c>
      <c r="M49" s="525">
        <v>-1</v>
      </c>
      <c r="N49" s="525">
        <v>-1</v>
      </c>
      <c r="O49" s="525">
        <v>-1</v>
      </c>
      <c r="P49" s="525" t="s">
        <v>14</v>
      </c>
      <c r="Q49" s="705" t="s">
        <v>14</v>
      </c>
    </row>
    <row r="50" spans="3:17">
      <c r="C50" s="122">
        <f>margins!BR45</f>
        <v>12.625</v>
      </c>
      <c r="D50" s="872">
        <v>111.84699999999999</v>
      </c>
      <c r="E50" s="123">
        <v>111.47199999999999</v>
      </c>
      <c r="G50" s="1908"/>
      <c r="H50" s="726" t="s">
        <v>61</v>
      </c>
      <c r="I50" s="510">
        <v>-1.875</v>
      </c>
      <c r="J50" s="509">
        <v>-1.875</v>
      </c>
      <c r="K50" s="509">
        <v>-2.375</v>
      </c>
      <c r="L50" s="509">
        <v>-2.875</v>
      </c>
      <c r="M50" s="509">
        <v>-3.375</v>
      </c>
      <c r="N50" s="509">
        <v>-4</v>
      </c>
      <c r="O50" s="509" t="s">
        <v>14</v>
      </c>
      <c r="P50" s="509" t="s">
        <v>14</v>
      </c>
      <c r="Q50" s="508" t="s">
        <v>14</v>
      </c>
    </row>
    <row r="51" spans="3:17">
      <c r="C51" s="122">
        <f>margins!BR46</f>
        <v>12.75</v>
      </c>
      <c r="D51" s="872">
        <v>111.97199999999999</v>
      </c>
      <c r="E51" s="123">
        <v>111.59699999999999</v>
      </c>
      <c r="G51" s="1904" t="s">
        <v>45</v>
      </c>
      <c r="H51" s="603" t="s">
        <v>407</v>
      </c>
      <c r="I51" s="526">
        <v>0</v>
      </c>
      <c r="J51" s="525">
        <v>0</v>
      </c>
      <c r="K51" s="525">
        <v>0</v>
      </c>
      <c r="L51" s="525">
        <v>0</v>
      </c>
      <c r="M51" s="525">
        <v>0</v>
      </c>
      <c r="N51" s="525">
        <v>0</v>
      </c>
      <c r="O51" s="525">
        <v>0</v>
      </c>
      <c r="P51" s="525">
        <v>0</v>
      </c>
      <c r="Q51" s="705">
        <v>0</v>
      </c>
    </row>
    <row r="52" spans="3:17">
      <c r="C52" s="122">
        <f>margins!BR47</f>
        <v>12.875</v>
      </c>
      <c r="D52" s="872">
        <v>112.09699999999999</v>
      </c>
      <c r="E52" s="123">
        <v>111.72199999999999</v>
      </c>
      <c r="G52" s="1905"/>
      <c r="H52" s="539" t="s">
        <v>408</v>
      </c>
      <c r="I52" s="514">
        <v>-0.375</v>
      </c>
      <c r="J52" s="513">
        <v>-0.375</v>
      </c>
      <c r="K52" s="513">
        <v>-0.375</v>
      </c>
      <c r="L52" s="513">
        <v>-0.375</v>
      </c>
      <c r="M52" s="513">
        <v>-0.375</v>
      </c>
      <c r="N52" s="513">
        <v>-0.375</v>
      </c>
      <c r="O52" s="513">
        <v>-0.5</v>
      </c>
      <c r="P52" s="513">
        <v>-0.75</v>
      </c>
      <c r="Q52" s="512">
        <v>-1</v>
      </c>
    </row>
    <row r="53" spans="3:17">
      <c r="C53" s="122">
        <f>margins!BR48</f>
        <v>13</v>
      </c>
      <c r="D53" s="872">
        <v>112.22199999999999</v>
      </c>
      <c r="E53" s="123">
        <v>111.84699999999999</v>
      </c>
      <c r="G53" s="1906"/>
      <c r="H53" s="602" t="s">
        <v>409</v>
      </c>
      <c r="I53" s="510">
        <v>-0.5</v>
      </c>
      <c r="J53" s="509">
        <v>-0.5</v>
      </c>
      <c r="K53" s="509">
        <v>-0.5</v>
      </c>
      <c r="L53" s="509">
        <v>-0.5</v>
      </c>
      <c r="M53" s="509">
        <v>-0.5</v>
      </c>
      <c r="N53" s="509">
        <v>-0.5</v>
      </c>
      <c r="O53" s="509">
        <v>-0.75</v>
      </c>
      <c r="P53" s="509" t="s">
        <v>14</v>
      </c>
      <c r="Q53" s="508" t="s">
        <v>14</v>
      </c>
    </row>
    <row r="54" spans="3:17">
      <c r="C54" s="122">
        <f>margins!BR49</f>
        <v>13.125</v>
      </c>
      <c r="D54" s="872">
        <v>112.34699999999999</v>
      </c>
      <c r="E54" s="123">
        <v>111.97199999999999</v>
      </c>
      <c r="G54" s="1353" t="s">
        <v>678</v>
      </c>
      <c r="H54" s="732" t="s">
        <v>542</v>
      </c>
      <c r="I54" s="536">
        <v>-1</v>
      </c>
      <c r="J54" s="535">
        <v>-1</v>
      </c>
      <c r="K54" s="535">
        <v>-1.25</v>
      </c>
      <c r="L54" s="535">
        <v>-1.25</v>
      </c>
      <c r="M54" s="535">
        <v>-1.5</v>
      </c>
      <c r="N54" s="535">
        <v>-1.5</v>
      </c>
      <c r="O54" s="535">
        <v>-2</v>
      </c>
      <c r="P54" s="535" t="s">
        <v>14</v>
      </c>
      <c r="Q54" s="604" t="s">
        <v>14</v>
      </c>
    </row>
    <row r="55" spans="3:17">
      <c r="G55" s="1909" t="s">
        <v>62</v>
      </c>
      <c r="H55" s="741" t="s">
        <v>291</v>
      </c>
      <c r="I55" s="727">
        <v>-0.25</v>
      </c>
      <c r="J55" s="728">
        <v>-0.25</v>
      </c>
      <c r="K55" s="728">
        <v>-0.25</v>
      </c>
      <c r="L55" s="728">
        <v>-0.25</v>
      </c>
      <c r="M55" s="728">
        <v>-0.375</v>
      </c>
      <c r="N55" s="728">
        <v>-0.375</v>
      </c>
      <c r="O55" s="728">
        <v>-0.5</v>
      </c>
      <c r="P55" s="728" t="s">
        <v>14</v>
      </c>
      <c r="Q55" s="729" t="s">
        <v>14</v>
      </c>
    </row>
    <row r="56" spans="3:17">
      <c r="G56" s="1911"/>
      <c r="H56" s="741" t="s">
        <v>381</v>
      </c>
      <c r="I56" s="727">
        <v>-0.5</v>
      </c>
      <c r="J56" s="728">
        <v>-0.5</v>
      </c>
      <c r="K56" s="728">
        <v>-0.5</v>
      </c>
      <c r="L56" s="728">
        <v>-0.5</v>
      </c>
      <c r="M56" s="728">
        <v>-0.5</v>
      </c>
      <c r="N56" s="728">
        <v>-0.5</v>
      </c>
      <c r="O56" s="728" t="s">
        <v>14</v>
      </c>
      <c r="P56" s="728" t="s">
        <v>14</v>
      </c>
      <c r="Q56" s="729" t="s">
        <v>14</v>
      </c>
    </row>
    <row r="57" spans="3:17"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3:17"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3:17"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3:17"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3:17"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3:17"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3:17"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3:17"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7:16">
      <c r="G65" s="37"/>
      <c r="H65" s="37"/>
      <c r="I65" s="37"/>
      <c r="J65" s="37"/>
      <c r="K65" s="37"/>
      <c r="L65" s="37"/>
      <c r="M65" s="37"/>
      <c r="N65" s="37"/>
      <c r="O65" s="37"/>
      <c r="P65" s="37"/>
    </row>
    <row r="66" spans="7:16">
      <c r="G66" s="37"/>
      <c r="H66" s="37"/>
      <c r="I66" s="37"/>
      <c r="J66" s="37"/>
      <c r="K66" s="37"/>
      <c r="L66" s="37"/>
      <c r="M66" s="37"/>
      <c r="N66" s="37"/>
      <c r="O66" s="37"/>
      <c r="P66" s="37"/>
    </row>
    <row r="67" spans="7:16"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7:16"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7:16"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7:16"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7:16"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7:16"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7:16"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7:16"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7:16"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7:16"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7:16"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7:16"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7:16"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7:16">
      <c r="G80" s="37"/>
      <c r="H80" s="37"/>
      <c r="I80" s="37"/>
      <c r="J80" s="37"/>
      <c r="K80" s="37"/>
      <c r="L80" s="37"/>
      <c r="M80" s="37"/>
      <c r="N80" s="37"/>
      <c r="O80" s="37"/>
    </row>
  </sheetData>
  <mergeCells count="11">
    <mergeCell ref="G55:G56"/>
    <mergeCell ref="J13:N13"/>
    <mergeCell ref="G19:H19"/>
    <mergeCell ref="I19:Q19"/>
    <mergeCell ref="G36:G38"/>
    <mergeCell ref="C6:E6"/>
    <mergeCell ref="G21:G27"/>
    <mergeCell ref="G51:G53"/>
    <mergeCell ref="G49:G50"/>
    <mergeCell ref="G44:G48"/>
    <mergeCell ref="G39:G43"/>
  </mergeCells>
  <conditionalFormatting sqref="I24:P27">
    <cfRule type="cellIs" dxfId="109" priority="7" operator="between">
      <formula>101</formula>
      <formula>101.5</formula>
    </cfRule>
  </conditionalFormatting>
  <conditionalFormatting sqref="I32:P35">
    <cfRule type="cellIs" dxfId="108" priority="3" operator="between">
      <formula>101</formula>
      <formula>101.5</formula>
    </cfRule>
  </conditionalFormatting>
  <conditionalFormatting sqref="I36:Q38">
    <cfRule type="cellIs" dxfId="107" priority="1" operator="between">
      <formula>101</formula>
      <formula>101.5</formula>
    </cfRule>
  </conditionalFormatting>
  <conditionalFormatting sqref="K21:M23 N21:P25 Q21:Q27 H22 I28:Q28 K29:M31 N29:P33 Q29:Q35 H30">
    <cfRule type="cellIs" dxfId="106" priority="9" operator="between">
      <formula>101</formula>
      <formula>101.5</formula>
    </cfRule>
  </conditionalFormatting>
  <conditionalFormatting sqref="M26:M27">
    <cfRule type="cellIs" dxfId="105" priority="6" operator="between">
      <formula>101</formula>
      <formula>101.5</formula>
    </cfRule>
  </conditionalFormatting>
  <conditionalFormatting sqref="M34:M35">
    <cfRule type="cellIs" dxfId="104" priority="2" operator="between">
      <formula>101</formula>
      <formula>101.5</formula>
    </cfRule>
  </conditionalFormatting>
  <conditionalFormatting sqref="Q50">
    <cfRule type="cellIs" dxfId="103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B6FCE96-7F74-429C-B3FD-1D3CD227D094}">
          <x14:formula1>
            <xm:f>margins!$AL$121:$AL$126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margins!$AL$114:$AL$119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margins!$AL$133:$AL$135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margins!$AL$128:$AL$131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margins!$AL$142:$AL$144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margins!$AL$139:$AL$140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margins!$AL$153:$AL$160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margins!$AL$146:$AL$147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margins!$AL$149:$AL$150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margins!$N$161:$N$163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margins!$N$165:$N$167</xm:f>
          </x14:formula1>
          <xm:sqref>T26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21.28515625" style="1057" customWidth="1"/>
    <col min="3" max="3" width="26.42578125" style="1057" customWidth="1"/>
    <col min="4" max="4" width="13.7109375" style="1057" customWidth="1"/>
    <col min="5" max="5" width="13.85546875" style="1057" customWidth="1"/>
    <col min="6" max="6" width="16.85546875" style="1057" customWidth="1"/>
    <col min="7" max="7" width="16.42578125" style="1057" customWidth="1"/>
    <col min="8" max="8" width="11.5703125" style="1057" bestFit="1" customWidth="1"/>
    <col min="9" max="9" width="15.5703125" style="1057" customWidth="1"/>
    <col min="10" max="10" width="16.570312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9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6">
        <f ca="1">NOW()</f>
        <v>45978.399704166666</v>
      </c>
      <c r="L2" s="1756"/>
      <c r="M2" s="1478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5" t="s">
        <v>648</v>
      </c>
      <c r="L3" s="1755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2"/>
      <c r="L4" s="1462"/>
      <c r="M4" s="1470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7"/>
      <c r="L5" s="1462" t="s">
        <v>182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70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70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1"/>
    </row>
    <row r="10" spans="1:17" s="1057" customFormat="1" ht="14.25" customHeight="1">
      <c r="A10" s="1757" t="s">
        <v>397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9"/>
      <c r="O10" s="1717" t="s">
        <v>393</v>
      </c>
      <c r="P10" s="1718"/>
      <c r="Q10" s="1718"/>
    </row>
    <row r="11" spans="1:17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2"/>
      <c r="O11" s="1"/>
      <c r="P11" s="1"/>
      <c r="Q11" s="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61" t="s">
        <v>4</v>
      </c>
      <c r="D13" s="1430" t="s">
        <v>5</v>
      </c>
      <c r="E13"/>
      <c r="F13" s="1202" t="s">
        <v>2</v>
      </c>
      <c r="G13" s="1201"/>
      <c r="I13" s="1920" t="s">
        <v>334</v>
      </c>
      <c r="J13" s="1921"/>
      <c r="K13" s="1922"/>
      <c r="M13" s="1061"/>
      <c r="O13" s="1"/>
      <c r="P13" s="1"/>
      <c r="Q13" s="1"/>
    </row>
    <row r="14" spans="1:17" s="1057" customFormat="1" ht="15.75" thickBot="1">
      <c r="A14" s="1250"/>
      <c r="B14" s="1480">
        <f>margins!BR3</f>
        <v>7.375</v>
      </c>
      <c r="C14" s="1483">
        <v>99.047999999999988</v>
      </c>
      <c r="D14" s="1485" t="s">
        <v>14</v>
      </c>
      <c r="E14"/>
      <c r="F14" s="1233" t="s">
        <v>6</v>
      </c>
      <c r="G14" s="1296">
        <v>100</v>
      </c>
      <c r="I14" s="1923" t="s">
        <v>748</v>
      </c>
      <c r="J14" s="1924"/>
      <c r="K14" s="1925"/>
      <c r="M14" s="1061"/>
      <c r="O14" s="1"/>
      <c r="P14" s="1"/>
      <c r="Q14" s="1"/>
    </row>
    <row r="15" spans="1:17" s="1057" customFormat="1" ht="15.75" thickBot="1">
      <c r="A15" s="1250"/>
      <c r="B15" s="1480">
        <f>margins!BR4</f>
        <v>7.5</v>
      </c>
      <c r="C15" s="1483">
        <v>99.497</v>
      </c>
      <c r="D15" s="1485" t="s">
        <v>14</v>
      </c>
      <c r="E15"/>
      <c r="F15" s="1233" t="s">
        <v>8</v>
      </c>
      <c r="G15" s="1255">
        <v>0</v>
      </c>
      <c r="I15" s="1917" t="s">
        <v>749</v>
      </c>
      <c r="J15" s="1918"/>
      <c r="K15" s="1919"/>
      <c r="M15" s="1061"/>
      <c r="O15" s="658" t="s">
        <v>5</v>
      </c>
      <c r="P15" s="484" t="s">
        <v>352</v>
      </c>
      <c r="Q15" s="709"/>
    </row>
    <row r="16" spans="1:17" s="1057" customFormat="1" ht="15.75" thickBot="1">
      <c r="A16" s="1250"/>
      <c r="B16" s="1480">
        <f>margins!BR5</f>
        <v>7.625</v>
      </c>
      <c r="C16" s="1483">
        <v>99.949999999999989</v>
      </c>
      <c r="D16" s="1485" t="s">
        <v>14</v>
      </c>
      <c r="E16"/>
      <c r="F16" s="1222" t="s">
        <v>10</v>
      </c>
      <c r="G16" s="1493">
        <v>-0.375</v>
      </c>
      <c r="I16" s="1917"/>
      <c r="J16" s="1918"/>
      <c r="K16" s="1919"/>
      <c r="M16" s="1061"/>
      <c r="O16" s="660" t="s">
        <v>211</v>
      </c>
      <c r="P16" s="485">
        <v>10</v>
      </c>
      <c r="Q16" s="489">
        <f>IF(P15="No",VLOOKUP(P16,$B$14:$D$60,2,FALSE),VLOOKUP(P16,$B$14:$D$60,3,FALSE))</f>
        <v>106.544</v>
      </c>
    </row>
    <row r="17" spans="1:17" s="1057" customFormat="1">
      <c r="A17" s="1250"/>
      <c r="B17" s="1480">
        <f>margins!BR6</f>
        <v>7.75</v>
      </c>
      <c r="C17" s="1483">
        <v>100.399</v>
      </c>
      <c r="D17" s="1485">
        <v>99.047999999999988</v>
      </c>
      <c r="E17"/>
      <c r="F17"/>
      <c r="G17"/>
      <c r="I17" s="1926" t="s">
        <v>750</v>
      </c>
      <c r="J17" s="1927"/>
      <c r="K17" s="1928"/>
      <c r="L17" s="1201"/>
      <c r="M17" s="1070"/>
      <c r="O17" s="660" t="s">
        <v>386</v>
      </c>
      <c r="P17" s="485" t="s">
        <v>21</v>
      </c>
      <c r="Q17" s="489"/>
    </row>
    <row r="18" spans="1:17" s="1057" customFormat="1" ht="15" customHeight="1" thickBot="1">
      <c r="A18" s="1250"/>
      <c r="B18" s="1480">
        <f>margins!BR7</f>
        <v>7.875</v>
      </c>
      <c r="C18" s="1483">
        <v>100.85199999999999</v>
      </c>
      <c r="D18" s="1485">
        <v>99.497</v>
      </c>
      <c r="E18"/>
      <c r="F18"/>
      <c r="G18"/>
      <c r="I18" s="1496" t="s">
        <v>751</v>
      </c>
      <c r="J18" s="1497"/>
      <c r="K18" s="1498"/>
      <c r="L18" s="1341"/>
      <c r="M18" s="1061"/>
      <c r="O18" s="660" t="s">
        <v>487</v>
      </c>
      <c r="P18" s="485" t="s">
        <v>323</v>
      </c>
      <c r="Q18" s="489">
        <f>IF(P18="Choose a Selection",0,(INDEX($D$65:$L$71,MATCH(P18,$C$65:$C$71,0),MATCH($P$17,$D$64:$L$64,0),1)))</f>
        <v>-1.75</v>
      </c>
    </row>
    <row r="19" spans="1:17" s="1057" customFormat="1">
      <c r="A19" s="1250"/>
      <c r="B19" s="1480">
        <f>margins!BR8</f>
        <v>8</v>
      </c>
      <c r="C19" s="1483">
        <v>101.404</v>
      </c>
      <c r="D19" s="1485">
        <v>99.949999999999989</v>
      </c>
      <c r="E19"/>
      <c r="F19" s="1725" t="s">
        <v>30</v>
      </c>
      <c r="G19" s="1732"/>
      <c r="L19" s="1341"/>
      <c r="M19" s="1061"/>
      <c r="O19" s="660" t="s">
        <v>488</v>
      </c>
      <c r="P19" s="485" t="s">
        <v>203</v>
      </c>
      <c r="Q19" s="489">
        <f>IF(P19="Choose a Selection",0,(INDEX($D$72:$L$72,1,MATCH($P$17,$D$64:$L$64,0),1)))</f>
        <v>0</v>
      </c>
    </row>
    <row r="20" spans="1:17" s="1057" customFormat="1">
      <c r="A20" s="1250"/>
      <c r="B20" s="1480">
        <f>margins!BR9</f>
        <v>8.125</v>
      </c>
      <c r="C20" s="1483">
        <v>101.85</v>
      </c>
      <c r="D20" s="1485">
        <v>100.399</v>
      </c>
      <c r="E20"/>
      <c r="F20" s="1494" t="s">
        <v>84</v>
      </c>
      <c r="G20" s="1500">
        <v>-0.25</v>
      </c>
      <c r="L20" s="1341"/>
      <c r="M20" s="1061"/>
      <c r="O20" s="660" t="s">
        <v>489</v>
      </c>
      <c r="P20" s="485" t="s">
        <v>203</v>
      </c>
      <c r="Q20" s="489">
        <f>IF(P20="Choose a Selection",0,(INDEX($I$29:$Q$35,MATCH(P20,$H$29:$H$35,0),MATCH($T$15,$I$20:$Q$20,0),1)))</f>
        <v>0</v>
      </c>
    </row>
    <row r="21" spans="1:17" s="1057" customFormat="1">
      <c r="A21" s="1250"/>
      <c r="B21" s="1480">
        <f>margins!BR10</f>
        <v>8.25</v>
      </c>
      <c r="C21" s="1483">
        <v>102.29599999999999</v>
      </c>
      <c r="D21" s="1485">
        <v>100.85199999999999</v>
      </c>
      <c r="E21"/>
      <c r="F21" s="1494" t="s">
        <v>85</v>
      </c>
      <c r="G21" s="1500">
        <v>-0.32500000000000001</v>
      </c>
      <c r="H21" s="1205"/>
      <c r="L21" s="1341"/>
      <c r="M21" s="1061"/>
      <c r="O21" s="660" t="s">
        <v>490</v>
      </c>
      <c r="P21" s="485" t="s">
        <v>203</v>
      </c>
      <c r="Q21" s="489">
        <f t="shared" ref="Q21:Q26" si="0">IF(P21="Choose a Selection",0,(INDEX($I$21:$Q$55,MATCH(P21,$H$21:$H$55,0),MATCH($T$15,$I$20:$Q$20,0),1)))</f>
        <v>0</v>
      </c>
    </row>
    <row r="22" spans="1:17" s="1057" customFormat="1">
      <c r="A22" s="1250"/>
      <c r="B22" s="1480">
        <f>margins!BR11</f>
        <v>8.375</v>
      </c>
      <c r="C22" s="1483">
        <v>102.74199999999999</v>
      </c>
      <c r="D22" s="1485">
        <v>101.404</v>
      </c>
      <c r="E22"/>
      <c r="F22" s="1494" t="s">
        <v>86</v>
      </c>
      <c r="G22" s="1500">
        <v>-0.55000000000000004</v>
      </c>
      <c r="L22" s="1341"/>
      <c r="M22" s="1061"/>
      <c r="O22" s="660" t="s">
        <v>210</v>
      </c>
      <c r="P22" s="485" t="s">
        <v>203</v>
      </c>
      <c r="Q22" s="489">
        <f t="shared" si="0"/>
        <v>0</v>
      </c>
    </row>
    <row r="23" spans="1:17" s="1057" customFormat="1" ht="15.75" thickBot="1">
      <c r="A23" s="1203"/>
      <c r="B23" s="1480">
        <f>margins!BR12</f>
        <v>8.5</v>
      </c>
      <c r="C23" s="1483">
        <v>103.187</v>
      </c>
      <c r="D23" s="1485">
        <v>101.85</v>
      </c>
      <c r="E23"/>
      <c r="F23" s="1495" t="s">
        <v>87</v>
      </c>
      <c r="G23" s="1501">
        <v>-0.65</v>
      </c>
      <c r="H23"/>
      <c r="L23" s="1341"/>
      <c r="M23" s="1472"/>
      <c r="O23" s="660" t="s">
        <v>310</v>
      </c>
      <c r="P23" s="485" t="s">
        <v>203</v>
      </c>
      <c r="Q23" s="489">
        <f t="shared" si="0"/>
        <v>0</v>
      </c>
    </row>
    <row r="24" spans="1:17" s="1057" customFormat="1" ht="14.25" customHeight="1">
      <c r="A24" s="1203"/>
      <c r="B24" s="1480">
        <f>margins!BR13</f>
        <v>8.625</v>
      </c>
      <c r="C24" s="1483">
        <v>103.55999999999999</v>
      </c>
      <c r="D24" s="1485">
        <v>102.29599999999999</v>
      </c>
      <c r="E24"/>
      <c r="F24" s="1057" t="s">
        <v>330</v>
      </c>
      <c r="G24"/>
      <c r="H24"/>
      <c r="L24" s="1341"/>
      <c r="M24" s="1477"/>
      <c r="O24" s="660" t="s">
        <v>60</v>
      </c>
      <c r="P24" s="485" t="s">
        <v>203</v>
      </c>
      <c r="Q24" s="489">
        <f t="shared" si="0"/>
        <v>0</v>
      </c>
    </row>
    <row r="25" spans="1:17" s="1057" customFormat="1">
      <c r="A25" s="1203"/>
      <c r="B25" s="1480">
        <f>margins!BR14</f>
        <v>8.75</v>
      </c>
      <c r="C25" s="1483">
        <v>103.93299999999999</v>
      </c>
      <c r="D25" s="1485">
        <v>102.74199999999999</v>
      </c>
      <c r="E25"/>
      <c r="H25"/>
      <c r="I25"/>
      <c r="J25" s="1341"/>
      <c r="K25" s="1341"/>
      <c r="L25" s="1341"/>
      <c r="M25" s="1477"/>
      <c r="O25" s="660" t="s">
        <v>45</v>
      </c>
      <c r="P25" s="485" t="s">
        <v>203</v>
      </c>
      <c r="Q25" s="489">
        <f t="shared" si="0"/>
        <v>0</v>
      </c>
    </row>
    <row r="26" spans="1:17" s="1057" customFormat="1" ht="14.25" customHeight="1">
      <c r="A26" s="1203"/>
      <c r="B26" s="1480">
        <f>margins!BR15</f>
        <v>8.875</v>
      </c>
      <c r="C26" s="1483">
        <v>104.30799999999999</v>
      </c>
      <c r="D26" s="1485">
        <v>103.187</v>
      </c>
      <c r="E26"/>
      <c r="G26"/>
      <c r="H26"/>
      <c r="I26"/>
      <c r="J26"/>
      <c r="K26"/>
      <c r="L26"/>
      <c r="M26" s="1477"/>
      <c r="O26" s="660" t="s">
        <v>681</v>
      </c>
      <c r="P26" s="485" t="s">
        <v>203</v>
      </c>
      <c r="Q26" s="489">
        <f t="shared" si="0"/>
        <v>0</v>
      </c>
    </row>
    <row r="27" spans="1:17" s="1057" customFormat="1">
      <c r="A27" s="1203"/>
      <c r="B27" s="1480">
        <f>margins!BR16</f>
        <v>9</v>
      </c>
      <c r="C27" s="1483">
        <v>104.68299999999999</v>
      </c>
      <c r="D27" s="1485">
        <v>103.55999999999999</v>
      </c>
      <c r="E27"/>
      <c r="G27"/>
      <c r="H27"/>
      <c r="I27"/>
      <c r="J27"/>
      <c r="K27"/>
      <c r="L27"/>
      <c r="M27" s="1477"/>
      <c r="O27" s="660" t="s">
        <v>62</v>
      </c>
      <c r="P27" s="485" t="s">
        <v>203</v>
      </c>
      <c r="Q27" s="489">
        <f>IF(P27="Choose a Selection",0,(INDEX($I$21:$Q$56,MATCH(P27,$H$21:$H$56,0),MATCH($T$15,$I$20:$Q$20,0),1)))</f>
        <v>0</v>
      </c>
    </row>
    <row r="28" spans="1:17" s="1057" customFormat="1" ht="14.25" customHeight="1">
      <c r="A28" s="1203"/>
      <c r="B28" s="1480">
        <f>margins!BR17</f>
        <v>9.125</v>
      </c>
      <c r="C28" s="1483">
        <v>105.05799999999999</v>
      </c>
      <c r="D28" s="1485">
        <v>103.93299999999999</v>
      </c>
      <c r="E28"/>
      <c r="G28"/>
      <c r="H28"/>
      <c r="I28"/>
      <c r="J28"/>
      <c r="K28"/>
      <c r="L28"/>
      <c r="M28" s="1477"/>
      <c r="O28" s="660" t="s">
        <v>217</v>
      </c>
      <c r="P28" s="485" t="s">
        <v>203</v>
      </c>
      <c r="Q28" s="489">
        <f>IF(P28=15,0, IF(P28=30, D12, 0))</f>
        <v>0</v>
      </c>
    </row>
    <row r="29" spans="1:17" s="1057" customFormat="1" ht="15.75" thickBot="1">
      <c r="A29" s="1203"/>
      <c r="B29" s="1480">
        <f>margins!BR18</f>
        <v>9.25</v>
      </c>
      <c r="C29" s="1483">
        <v>105.43199999999999</v>
      </c>
      <c r="D29" s="1485">
        <v>104.30799999999999</v>
      </c>
      <c r="E29"/>
      <c r="G29"/>
      <c r="H29"/>
      <c r="I29"/>
      <c r="J29"/>
      <c r="K29"/>
      <c r="L29"/>
      <c r="M29" s="1477"/>
      <c r="O29" s="662" t="s">
        <v>218</v>
      </c>
      <c r="P29" s="486"/>
      <c r="Q29" s="490">
        <f>SUM(Q18:Q28)</f>
        <v>-1.75</v>
      </c>
    </row>
    <row r="30" spans="1:17" s="1057" customFormat="1" ht="15.75" thickBot="1">
      <c r="A30" s="1203"/>
      <c r="B30" s="1480">
        <f>margins!BR19</f>
        <v>9.375</v>
      </c>
      <c r="C30" s="1483">
        <v>105.806</v>
      </c>
      <c r="D30" s="1485">
        <v>104.68299999999999</v>
      </c>
      <c r="E30"/>
      <c r="G30"/>
      <c r="H30"/>
      <c r="J30"/>
      <c r="K30"/>
      <c r="L30"/>
      <c r="M30" s="1473"/>
      <c r="O30" s="473"/>
      <c r="P30" s="474"/>
      <c r="Q30" s="483"/>
    </row>
    <row r="31" spans="1:17" s="1057" customFormat="1" ht="15.75" thickBot="1">
      <c r="A31" s="1203"/>
      <c r="B31" s="1480">
        <f>margins!BR20</f>
        <v>9.5</v>
      </c>
      <c r="C31" s="1483">
        <v>106.17899999999999</v>
      </c>
      <c r="D31" s="1485">
        <v>105.05799999999999</v>
      </c>
      <c r="E31"/>
      <c r="G31" s="1202"/>
      <c r="H31" s="1201"/>
      <c r="J31"/>
      <c r="K31"/>
      <c r="L31"/>
      <c r="M31" s="1473"/>
      <c r="O31" s="475" t="s">
        <v>219</v>
      </c>
      <c r="P31" s="476"/>
      <c r="Q31" s="663">
        <f>IF(ISNUMBER(MATCH("NA", Q18:Q28, 0)), "NA",MIN(G14,(Q16+Q29)))</f>
        <v>100</v>
      </c>
    </row>
    <row r="32" spans="1:17" s="1057" customFormat="1" ht="15.75" thickBot="1">
      <c r="A32" s="1203"/>
      <c r="B32" s="1480">
        <f>margins!BR21</f>
        <v>9.625</v>
      </c>
      <c r="C32" s="1483">
        <v>106.544</v>
      </c>
      <c r="D32" s="1485">
        <v>105.43199999999999</v>
      </c>
      <c r="E32"/>
      <c r="M32" s="1061"/>
      <c r="O32" s="470"/>
      <c r="P32" s="470"/>
      <c r="Q32" s="470"/>
    </row>
    <row r="33" spans="1:17" s="1057" customFormat="1" ht="15.75" thickBot="1">
      <c r="A33" s="1203"/>
      <c r="B33" s="1480">
        <f>margins!BR22</f>
        <v>9.75</v>
      </c>
      <c r="C33" s="1483">
        <v>106.908</v>
      </c>
      <c r="D33" s="1485">
        <v>105.806</v>
      </c>
      <c r="E33"/>
      <c r="M33" s="1061"/>
      <c r="O33" s="846" t="s">
        <v>485</v>
      </c>
      <c r="P33" s="847"/>
      <c r="Q33" s="848"/>
    </row>
    <row r="34" spans="1:17" s="1057" customFormat="1">
      <c r="A34" s="1203"/>
      <c r="B34" s="1480">
        <f>margins!BR23</f>
        <v>9.875</v>
      </c>
      <c r="C34" s="1483">
        <v>107.265</v>
      </c>
      <c r="D34" s="1485">
        <v>106.17899999999999</v>
      </c>
      <c r="E34"/>
      <c r="M34" s="1061"/>
    </row>
    <row r="35" spans="1:17" s="1057" customFormat="1">
      <c r="A35" s="1203"/>
      <c r="B35" s="1480">
        <f>margins!BR24</f>
        <v>10</v>
      </c>
      <c r="C35" s="1483">
        <v>107.622</v>
      </c>
      <c r="D35" s="1485">
        <v>106.544</v>
      </c>
      <c r="E35"/>
      <c r="M35" s="1061"/>
    </row>
    <row r="36" spans="1:17" s="1057" customFormat="1">
      <c r="A36" s="1203"/>
      <c r="B36" s="1480">
        <f>margins!BR25</f>
        <v>10.125</v>
      </c>
      <c r="C36" s="1483">
        <v>107.872</v>
      </c>
      <c r="D36" s="1485">
        <v>106.908</v>
      </c>
      <c r="E36"/>
      <c r="M36" s="1061"/>
    </row>
    <row r="37" spans="1:17" s="1057" customFormat="1">
      <c r="A37" s="1203"/>
      <c r="B37" s="1480">
        <f>margins!BR26</f>
        <v>10.25</v>
      </c>
      <c r="C37" s="1483">
        <v>108.122</v>
      </c>
      <c r="D37" s="1485">
        <v>107.265</v>
      </c>
      <c r="E37"/>
      <c r="M37" s="1061"/>
    </row>
    <row r="38" spans="1:17" s="1057" customFormat="1">
      <c r="A38" s="1203"/>
      <c r="B38" s="1480">
        <f>margins!BR27</f>
        <v>10.375</v>
      </c>
      <c r="C38" s="1483">
        <v>108.372</v>
      </c>
      <c r="D38" s="1485">
        <v>107.622</v>
      </c>
      <c r="E38"/>
      <c r="M38" s="1061"/>
    </row>
    <row r="39" spans="1:17" s="1057" customFormat="1">
      <c r="A39" s="1203"/>
      <c r="B39" s="1480">
        <f>margins!BR28</f>
        <v>10.5</v>
      </c>
      <c r="C39" s="1483">
        <v>108.72199999999999</v>
      </c>
      <c r="D39" s="1485">
        <v>107.872</v>
      </c>
      <c r="E39"/>
      <c r="M39" s="1061"/>
    </row>
    <row r="40" spans="1:17" s="1057" customFormat="1">
      <c r="A40" s="1203"/>
      <c r="B40" s="1480">
        <f>margins!BR29</f>
        <v>10.625</v>
      </c>
      <c r="C40" s="1483">
        <v>108.97199999999999</v>
      </c>
      <c r="D40" s="1485">
        <v>108.122</v>
      </c>
      <c r="E40"/>
      <c r="M40" s="1061"/>
    </row>
    <row r="41" spans="1:17" s="1057" customFormat="1">
      <c r="A41" s="1203"/>
      <c r="B41" s="1480">
        <f>margins!BR30</f>
        <v>10.75</v>
      </c>
      <c r="C41" s="1483">
        <v>109.22199999999999</v>
      </c>
      <c r="D41" s="1485">
        <v>108.372</v>
      </c>
      <c r="E41"/>
      <c r="F41"/>
      <c r="G41"/>
      <c r="M41" s="1061"/>
    </row>
    <row r="42" spans="1:17" s="1057" customFormat="1">
      <c r="A42" s="1203"/>
      <c r="B42" s="1297">
        <f>margins!BR31</f>
        <v>10.875</v>
      </c>
      <c r="C42" s="1483">
        <v>109.47199999999999</v>
      </c>
      <c r="D42" s="1485">
        <v>108.72199999999999</v>
      </c>
      <c r="E42"/>
      <c r="F42"/>
      <c r="G42"/>
      <c r="M42" s="1061"/>
    </row>
    <row r="43" spans="1:17" s="1057" customFormat="1">
      <c r="A43" s="1203"/>
      <c r="B43" s="1297">
        <f>margins!BR32</f>
        <v>11</v>
      </c>
      <c r="C43" s="1483">
        <v>109.72199999999999</v>
      </c>
      <c r="D43" s="1485">
        <v>108.97199999999999</v>
      </c>
      <c r="F43"/>
      <c r="G43"/>
      <c r="M43" s="1061"/>
    </row>
    <row r="44" spans="1:17" s="1057" customFormat="1">
      <c r="A44" s="1203"/>
      <c r="B44" s="1480">
        <f>margins!BR33</f>
        <v>11.125</v>
      </c>
      <c r="C44" s="1483">
        <v>109.97199999999999</v>
      </c>
      <c r="D44" s="1485">
        <v>109.22199999999999</v>
      </c>
      <c r="F44"/>
      <c r="G44"/>
      <c r="H44" s="1201"/>
      <c r="M44" s="1061"/>
    </row>
    <row r="45" spans="1:17" s="1057" customFormat="1">
      <c r="A45" s="1203"/>
      <c r="B45" s="1480">
        <f>margins!BR34</f>
        <v>11.25</v>
      </c>
      <c r="C45" s="1483">
        <v>110.22199999999999</v>
      </c>
      <c r="D45" s="1485">
        <v>109.47199999999999</v>
      </c>
      <c r="F45"/>
      <c r="G45"/>
      <c r="M45" s="1061"/>
    </row>
    <row r="46" spans="1:17" s="1057" customFormat="1">
      <c r="A46" s="1203"/>
      <c r="B46" s="1480">
        <f>margins!BR35</f>
        <v>11.375</v>
      </c>
      <c r="C46" s="1483">
        <v>110.47199999999999</v>
      </c>
      <c r="D46" s="1485">
        <v>109.72199999999999</v>
      </c>
      <c r="F46"/>
      <c r="G46"/>
      <c r="M46" s="1061"/>
    </row>
    <row r="47" spans="1:17" s="1057" customFormat="1">
      <c r="A47" s="1203"/>
      <c r="B47" s="1480">
        <f>margins!BR36</f>
        <v>11.5</v>
      </c>
      <c r="C47" s="1483">
        <v>110.72199999999999</v>
      </c>
      <c r="D47" s="1485">
        <v>109.97199999999999</v>
      </c>
      <c r="M47" s="1061"/>
    </row>
    <row r="48" spans="1:17" s="1057" customFormat="1">
      <c r="A48" s="1203"/>
      <c r="B48" s="1480">
        <f>margins!BR37</f>
        <v>11.625</v>
      </c>
      <c r="C48" s="1483">
        <v>110.84699999999999</v>
      </c>
      <c r="D48" s="1485">
        <v>110.22199999999999</v>
      </c>
      <c r="M48" s="1061"/>
    </row>
    <row r="49" spans="1:13" s="1057" customFormat="1">
      <c r="A49" s="1203"/>
      <c r="B49" s="1480">
        <f>margins!BR38</f>
        <v>11.75</v>
      </c>
      <c r="C49" s="1483">
        <v>110.97199999999999</v>
      </c>
      <c r="D49" s="1485">
        <v>110.47199999999999</v>
      </c>
      <c r="M49" s="1061"/>
    </row>
    <row r="50" spans="1:13" s="1057" customFormat="1">
      <c r="A50" s="1203"/>
      <c r="B50" s="1480">
        <f>margins!BR39</f>
        <v>11.875</v>
      </c>
      <c r="C50" s="1483">
        <v>111.09699999999999</v>
      </c>
      <c r="D50" s="1485">
        <v>110.72199999999999</v>
      </c>
      <c r="M50" s="1061"/>
    </row>
    <row r="51" spans="1:13" s="1057" customFormat="1">
      <c r="A51" s="1203"/>
      <c r="B51" s="1480">
        <f>margins!BR40</f>
        <v>12</v>
      </c>
      <c r="C51" s="1483">
        <v>111.22199999999999</v>
      </c>
      <c r="D51" s="1485">
        <v>110.84699999999999</v>
      </c>
      <c r="K51" s="1333"/>
      <c r="L51" s="1333"/>
      <c r="M51" s="1474"/>
    </row>
    <row r="52" spans="1:13" s="1057" customFormat="1">
      <c r="A52" s="1203"/>
      <c r="B52" s="1480">
        <f>margins!BR41</f>
        <v>12.125</v>
      </c>
      <c r="C52" s="1483">
        <v>111.34699999999999</v>
      </c>
      <c r="D52" s="1485">
        <v>110.97199999999999</v>
      </c>
      <c r="K52" s="1249"/>
      <c r="L52" s="1249"/>
      <c r="M52" s="1471"/>
    </row>
    <row r="53" spans="1:13" s="1057" customFormat="1">
      <c r="A53" s="1203"/>
      <c r="B53" s="1480">
        <f>margins!BR42</f>
        <v>12.25</v>
      </c>
      <c r="C53" s="1483">
        <v>111.47199999999999</v>
      </c>
      <c r="D53" s="1485">
        <v>111.09699999999999</v>
      </c>
      <c r="M53" s="1061"/>
    </row>
    <row r="54" spans="1:13" s="1057" customFormat="1">
      <c r="A54" s="1203"/>
      <c r="B54" s="1480">
        <f>margins!BR43</f>
        <v>12.375</v>
      </c>
      <c r="C54" s="1483">
        <v>111.59699999999999</v>
      </c>
      <c r="D54" s="1485">
        <v>111.22199999999999</v>
      </c>
      <c r="M54" s="1061"/>
    </row>
    <row r="55" spans="1:13" s="1057" customFormat="1">
      <c r="A55" s="1203"/>
      <c r="B55" s="1480">
        <f>margins!BR44</f>
        <v>12.5</v>
      </c>
      <c r="C55" s="1483">
        <v>111.72199999999999</v>
      </c>
      <c r="D55" s="1485">
        <v>111.34699999999999</v>
      </c>
      <c r="M55" s="1061"/>
    </row>
    <row r="56" spans="1:13" s="1057" customFormat="1">
      <c r="A56" s="1203"/>
      <c r="B56" s="1480">
        <f>margins!BR45</f>
        <v>12.625</v>
      </c>
      <c r="C56" s="1483">
        <v>111.84699999999999</v>
      </c>
      <c r="D56" s="1485">
        <v>111.47199999999999</v>
      </c>
      <c r="M56" s="1061"/>
    </row>
    <row r="57" spans="1:13" s="1057" customFormat="1">
      <c r="A57" s="1203"/>
      <c r="B57" s="1480">
        <f>margins!BR46</f>
        <v>12.75</v>
      </c>
      <c r="C57" s="1483">
        <v>111.97199999999999</v>
      </c>
      <c r="D57" s="1485">
        <v>111.59699999999999</v>
      </c>
      <c r="M57" s="1061"/>
    </row>
    <row r="58" spans="1:13" s="1057" customFormat="1">
      <c r="A58" s="1203"/>
      <c r="B58" s="1480">
        <f>margins!BR47</f>
        <v>12.875</v>
      </c>
      <c r="C58" s="1483">
        <v>112.09699999999999</v>
      </c>
      <c r="D58" s="1485">
        <v>111.72199999999999</v>
      </c>
      <c r="M58" s="1061"/>
    </row>
    <row r="59" spans="1:13" s="1057" customFormat="1">
      <c r="A59" s="1203"/>
      <c r="B59" s="1480">
        <f>margins!BR48</f>
        <v>13</v>
      </c>
      <c r="C59" s="1483">
        <v>112.22199999999999</v>
      </c>
      <c r="D59" s="1485">
        <v>111.84699999999999</v>
      </c>
      <c r="M59" s="1061"/>
    </row>
    <row r="60" spans="1:13" s="1057" customFormat="1" ht="15.75" thickBot="1">
      <c r="A60" s="1203"/>
      <c r="B60" s="1490">
        <f>margins!BR49</f>
        <v>13.125</v>
      </c>
      <c r="C60" s="1491">
        <v>112.34699999999999</v>
      </c>
      <c r="D60" s="1492">
        <v>111.97199999999999</v>
      </c>
      <c r="M60" s="1061"/>
    </row>
    <row r="61" spans="1:13" s="1057" customFormat="1">
      <c r="A61" s="1203"/>
      <c r="B61"/>
      <c r="M61" s="1061"/>
    </row>
    <row r="62" spans="1:13" s="1057" customFormat="1" ht="15.75" thickBot="1">
      <c r="A62" s="1203"/>
      <c r="C62" s="1271"/>
      <c r="D62" s="1271"/>
      <c r="E62" s="1271"/>
      <c r="F62" s="1279"/>
      <c r="G62" s="1325"/>
      <c r="H62" s="1279"/>
      <c r="I62" s="1279"/>
      <c r="J62" s="1325"/>
      <c r="K62" s="1325"/>
      <c r="L62" s="1325"/>
      <c r="M62" s="1434"/>
    </row>
    <row r="63" spans="1:13" s="1057" customFormat="1" ht="15" customHeight="1" thickBot="1">
      <c r="A63" s="1203"/>
      <c r="B63" s="1202" t="s">
        <v>244</v>
      </c>
      <c r="C63" s="1202"/>
      <c r="D63" s="1743" t="s">
        <v>329</v>
      </c>
      <c r="E63" s="1744"/>
      <c r="F63" s="1744"/>
      <c r="G63" s="1744"/>
      <c r="H63" s="1744"/>
      <c r="I63" s="1744"/>
      <c r="J63" s="1744"/>
      <c r="K63" s="1744"/>
      <c r="L63" s="1745"/>
      <c r="M63" s="1434"/>
    </row>
    <row r="64" spans="1:13" s="1057" customFormat="1" ht="15.75" thickBot="1">
      <c r="A64" s="1203"/>
      <c r="B64" s="1441"/>
      <c r="C64" s="1455" t="s">
        <v>203</v>
      </c>
      <c r="D64" s="1221" t="s">
        <v>15</v>
      </c>
      <c r="E64" s="1221" t="s">
        <v>16</v>
      </c>
      <c r="F64" s="1221" t="s">
        <v>17</v>
      </c>
      <c r="G64" s="1319" t="s">
        <v>18</v>
      </c>
      <c r="H64" s="1517" t="s">
        <v>19</v>
      </c>
      <c r="I64" s="1221" t="s">
        <v>20</v>
      </c>
      <c r="J64" s="1221" t="s">
        <v>21</v>
      </c>
      <c r="K64" s="1221" t="s">
        <v>22</v>
      </c>
      <c r="L64" s="1220" t="s">
        <v>23</v>
      </c>
      <c r="M64" s="1434"/>
    </row>
    <row r="65" spans="1:13" s="1057" customFormat="1">
      <c r="A65" s="1203"/>
      <c r="B65" s="1788" t="s">
        <v>202</v>
      </c>
      <c r="C65" s="1426" t="s">
        <v>410</v>
      </c>
      <c r="D65" s="1212">
        <v>3</v>
      </c>
      <c r="E65" s="1212">
        <v>2.875</v>
      </c>
      <c r="F65" s="1212">
        <v>2.875</v>
      </c>
      <c r="G65" s="1212">
        <v>2.75</v>
      </c>
      <c r="H65" s="1212">
        <v>2.5</v>
      </c>
      <c r="I65" s="1212">
        <v>2</v>
      </c>
      <c r="J65" s="1212">
        <v>0.875</v>
      </c>
      <c r="K65" s="1212">
        <v>-2</v>
      </c>
      <c r="L65" s="1211">
        <v>-3.5</v>
      </c>
      <c r="M65" s="1434"/>
    </row>
    <row r="66" spans="1:13" s="1057" customFormat="1">
      <c r="A66" s="1203"/>
      <c r="B66" s="1749"/>
      <c r="C66" s="1427" t="s">
        <v>325</v>
      </c>
      <c r="D66" s="1215">
        <v>3</v>
      </c>
      <c r="E66" s="1215">
        <v>2.875</v>
      </c>
      <c r="F66" s="1215">
        <v>2.875</v>
      </c>
      <c r="G66" s="1215">
        <v>2.625</v>
      </c>
      <c r="H66" s="1215">
        <v>2.25</v>
      </c>
      <c r="I66" s="1215">
        <v>1.375</v>
      </c>
      <c r="J66" s="1215">
        <v>0.5</v>
      </c>
      <c r="K66" s="1215">
        <v>-2.875</v>
      </c>
      <c r="L66" s="1214">
        <v>-4.5</v>
      </c>
      <c r="M66" s="1434"/>
    </row>
    <row r="67" spans="1:13" s="1057" customFormat="1">
      <c r="A67" s="1203"/>
      <c r="B67" s="1749"/>
      <c r="C67" s="1427" t="s">
        <v>324</v>
      </c>
      <c r="D67" s="1215">
        <v>2</v>
      </c>
      <c r="E67" s="1215">
        <v>1.875</v>
      </c>
      <c r="F67" s="1215">
        <v>1.875</v>
      </c>
      <c r="G67" s="1215">
        <v>1.375</v>
      </c>
      <c r="H67" s="1215">
        <v>1</v>
      </c>
      <c r="I67" s="1215">
        <v>0.75</v>
      </c>
      <c r="J67" s="1215">
        <v>-0.5</v>
      </c>
      <c r="K67" s="1215">
        <v>-4</v>
      </c>
      <c r="L67" s="1214">
        <v>-6.5</v>
      </c>
      <c r="M67" s="1434"/>
    </row>
    <row r="68" spans="1:13" s="1057" customFormat="1">
      <c r="A68" s="1203"/>
      <c r="B68" s="1749"/>
      <c r="C68" s="1427" t="s">
        <v>323</v>
      </c>
      <c r="D68" s="1215">
        <v>1.25</v>
      </c>
      <c r="E68" s="1215">
        <v>1.25</v>
      </c>
      <c r="F68" s="1215">
        <v>1.25</v>
      </c>
      <c r="G68" s="1215">
        <v>1</v>
      </c>
      <c r="H68" s="1215">
        <v>0.625</v>
      </c>
      <c r="I68" s="1215">
        <v>0.25</v>
      </c>
      <c r="J68" s="1215">
        <v>-1.75</v>
      </c>
      <c r="K68" s="1215">
        <v>-5.5</v>
      </c>
      <c r="L68" s="1214">
        <v>-8.5</v>
      </c>
      <c r="M68" s="1434"/>
    </row>
    <row r="69" spans="1:13" s="1057" customFormat="1">
      <c r="A69" s="1203"/>
      <c r="B69" s="1749"/>
      <c r="C69" s="1427" t="s">
        <v>322</v>
      </c>
      <c r="D69" s="1215">
        <v>0.875</v>
      </c>
      <c r="E69" s="1215">
        <v>0.875</v>
      </c>
      <c r="F69" s="1215">
        <v>0.875</v>
      </c>
      <c r="G69" s="1215">
        <v>0.5</v>
      </c>
      <c r="H69" s="1215">
        <v>0.125</v>
      </c>
      <c r="I69" s="1215">
        <v>-0.5</v>
      </c>
      <c r="J69" s="1215">
        <v>-2.75</v>
      </c>
      <c r="K69" s="1215">
        <v>-7</v>
      </c>
      <c r="L69" s="1214" t="s">
        <v>14</v>
      </c>
      <c r="M69" s="1434"/>
    </row>
    <row r="70" spans="1:13" s="1057" customFormat="1">
      <c r="A70" s="1203"/>
      <c r="B70" s="1749"/>
      <c r="C70" s="1427" t="s">
        <v>321</v>
      </c>
      <c r="D70" s="1215">
        <v>0.375</v>
      </c>
      <c r="E70" s="1215">
        <v>0.375</v>
      </c>
      <c r="F70" s="1215">
        <v>0.375</v>
      </c>
      <c r="G70" s="1215">
        <v>-0.125</v>
      </c>
      <c r="H70" s="1215">
        <v>-1</v>
      </c>
      <c r="I70" s="1215">
        <v>-2</v>
      </c>
      <c r="J70" s="1215">
        <v>-5</v>
      </c>
      <c r="K70" s="1215">
        <v>-8</v>
      </c>
      <c r="L70" s="1214" t="s">
        <v>14</v>
      </c>
      <c r="M70" s="1434"/>
    </row>
    <row r="71" spans="1:13" s="1057" customFormat="1" ht="15.75" thickBot="1">
      <c r="A71" s="1203"/>
      <c r="B71" s="1789"/>
      <c r="C71" s="1210" t="s">
        <v>320</v>
      </c>
      <c r="D71" s="1277">
        <v>-0.25</v>
      </c>
      <c r="E71" s="1277">
        <v>-0.5</v>
      </c>
      <c r="F71" s="1277">
        <v>-0.75</v>
      </c>
      <c r="G71" s="1277">
        <v>-1</v>
      </c>
      <c r="H71" s="1277">
        <v>-3</v>
      </c>
      <c r="I71" s="1277">
        <v>-4</v>
      </c>
      <c r="J71" s="1277" t="s">
        <v>14</v>
      </c>
      <c r="K71" s="1277" t="s">
        <v>14</v>
      </c>
      <c r="L71" s="1276" t="s">
        <v>14</v>
      </c>
      <c r="M71" s="1434"/>
    </row>
    <row r="72" spans="1:13" s="1057" customFormat="1" ht="15.75" thickBot="1">
      <c r="A72" s="1203"/>
      <c r="B72" s="1708" t="s">
        <v>377</v>
      </c>
      <c r="C72" s="1710"/>
      <c r="D72" s="1218">
        <v>0</v>
      </c>
      <c r="E72" s="1218">
        <v>0</v>
      </c>
      <c r="F72" s="1218">
        <v>0</v>
      </c>
      <c r="G72" s="1218">
        <v>0</v>
      </c>
      <c r="H72" s="1218">
        <v>-0.125</v>
      </c>
      <c r="I72" s="1218">
        <v>-0.125</v>
      </c>
      <c r="J72" s="1218">
        <v>-0.125</v>
      </c>
      <c r="K72" s="1218">
        <v>-0.25</v>
      </c>
      <c r="L72" s="1217">
        <v>-0.375</v>
      </c>
      <c r="M72" s="1434"/>
    </row>
    <row r="73" spans="1:13" s="1057" customFormat="1">
      <c r="A73" s="1203"/>
      <c r="B73" s="1335"/>
      <c r="C73" s="1426" t="s">
        <v>410</v>
      </c>
      <c r="D73" s="1212">
        <v>3</v>
      </c>
      <c r="E73" s="1212">
        <v>2.875</v>
      </c>
      <c r="F73" s="1212">
        <v>2.875</v>
      </c>
      <c r="G73" s="1212">
        <v>2.75</v>
      </c>
      <c r="H73" s="1212">
        <v>2.5</v>
      </c>
      <c r="I73" s="1212">
        <v>2</v>
      </c>
      <c r="J73" s="1212">
        <v>0.875</v>
      </c>
      <c r="K73" s="1212">
        <v>-2.25</v>
      </c>
      <c r="L73" s="1211" t="s">
        <v>14</v>
      </c>
      <c r="M73" s="1434"/>
    </row>
    <row r="74" spans="1:13" s="1057" customFormat="1">
      <c r="A74" s="1203"/>
      <c r="B74" s="1427" t="s">
        <v>5</v>
      </c>
      <c r="C74" s="1427" t="s">
        <v>325</v>
      </c>
      <c r="D74" s="1215">
        <v>3</v>
      </c>
      <c r="E74" s="1215">
        <v>2.875</v>
      </c>
      <c r="F74" s="1215">
        <v>2.875</v>
      </c>
      <c r="G74" s="1215">
        <v>2.625</v>
      </c>
      <c r="H74" s="1215">
        <v>2.25</v>
      </c>
      <c r="I74" s="1215">
        <v>1.375</v>
      </c>
      <c r="J74" s="1215">
        <v>0.5</v>
      </c>
      <c r="K74" s="1215">
        <v>-3.125</v>
      </c>
      <c r="L74" s="1214" t="s">
        <v>14</v>
      </c>
      <c r="M74" s="1434"/>
    </row>
    <row r="75" spans="1:13" s="1057" customFormat="1">
      <c r="A75" s="1203"/>
      <c r="B75" s="1747" t="s">
        <v>38</v>
      </c>
      <c r="C75" s="1427" t="s">
        <v>324</v>
      </c>
      <c r="D75" s="1215">
        <v>2</v>
      </c>
      <c r="E75" s="1215">
        <v>1.875</v>
      </c>
      <c r="F75" s="1215">
        <v>1.875</v>
      </c>
      <c r="G75" s="1215">
        <v>1.375</v>
      </c>
      <c r="H75" s="1215">
        <v>1</v>
      </c>
      <c r="I75" s="1215">
        <v>0.75</v>
      </c>
      <c r="J75" s="1215">
        <v>-0.5</v>
      </c>
      <c r="K75" s="1215">
        <v>-4.25</v>
      </c>
      <c r="L75" s="1214" t="s">
        <v>14</v>
      </c>
      <c r="M75" s="1434"/>
    </row>
    <row r="76" spans="1:13" s="1057" customFormat="1">
      <c r="A76" s="1203"/>
      <c r="B76" s="1747"/>
      <c r="C76" s="1427" t="s">
        <v>323</v>
      </c>
      <c r="D76" s="1215">
        <v>1.25</v>
      </c>
      <c r="E76" s="1215">
        <v>1.25</v>
      </c>
      <c r="F76" s="1215">
        <v>1.25</v>
      </c>
      <c r="G76" s="1215">
        <v>1</v>
      </c>
      <c r="H76" s="1215">
        <v>0.625</v>
      </c>
      <c r="I76" s="1215">
        <v>0.25</v>
      </c>
      <c r="J76" s="1215">
        <v>-1.75</v>
      </c>
      <c r="K76" s="1215">
        <v>-6</v>
      </c>
      <c r="L76" s="1214" t="s">
        <v>14</v>
      </c>
      <c r="M76" s="1434"/>
    </row>
    <row r="77" spans="1:13" s="1057" customFormat="1">
      <c r="A77" s="1203"/>
      <c r="B77" s="1427" t="s">
        <v>39</v>
      </c>
      <c r="C77" s="1427" t="s">
        <v>322</v>
      </c>
      <c r="D77" s="1215">
        <v>0.875</v>
      </c>
      <c r="E77" s="1215">
        <v>0.875</v>
      </c>
      <c r="F77" s="1215">
        <v>0.875</v>
      </c>
      <c r="G77" s="1215">
        <v>0.5</v>
      </c>
      <c r="H77" s="1215">
        <v>0.125</v>
      </c>
      <c r="I77" s="1215">
        <v>-0.5</v>
      </c>
      <c r="J77" s="1215">
        <v>-2.75</v>
      </c>
      <c r="K77" s="1215" t="s">
        <v>14</v>
      </c>
      <c r="L77" s="1214" t="s">
        <v>14</v>
      </c>
      <c r="M77" s="1434"/>
    </row>
    <row r="78" spans="1:13" s="1057" customFormat="1">
      <c r="A78" s="1203"/>
      <c r="B78" s="1427" t="s">
        <v>89</v>
      </c>
      <c r="C78" s="1427" t="s">
        <v>321</v>
      </c>
      <c r="D78" s="1215">
        <v>0.125</v>
      </c>
      <c r="E78" s="1215">
        <v>0.125</v>
      </c>
      <c r="F78" s="1215">
        <v>0.125</v>
      </c>
      <c r="G78" s="1215">
        <v>-0.375</v>
      </c>
      <c r="H78" s="1215">
        <v>-1.25</v>
      </c>
      <c r="I78" s="1215">
        <v>-2.25</v>
      </c>
      <c r="J78" s="1215">
        <v>-5.5</v>
      </c>
      <c r="K78" s="1215" t="s">
        <v>14</v>
      </c>
      <c r="L78" s="1214" t="s">
        <v>14</v>
      </c>
      <c r="M78" s="1434"/>
    </row>
    <row r="79" spans="1:13" s="1057" customFormat="1" ht="15.75" thickBot="1">
      <c r="A79" s="1203"/>
      <c r="B79" s="1436"/>
      <c r="C79" s="1210" t="s">
        <v>320</v>
      </c>
      <c r="D79" s="1277">
        <v>-0.5</v>
      </c>
      <c r="E79" s="1277">
        <v>-0.75</v>
      </c>
      <c r="F79" s="1277">
        <v>-1</v>
      </c>
      <c r="G79" s="1277">
        <v>-1.25</v>
      </c>
      <c r="H79" s="1277">
        <v>-3.25</v>
      </c>
      <c r="I79" s="1277">
        <v>-4.5</v>
      </c>
      <c r="J79" s="1277" t="s">
        <v>14</v>
      </c>
      <c r="K79" s="1277" t="s">
        <v>14</v>
      </c>
      <c r="L79" s="1276" t="s">
        <v>14</v>
      </c>
      <c r="M79" s="1434"/>
    </row>
    <row r="80" spans="1:13" s="1057" customFormat="1">
      <c r="A80" s="1203"/>
      <c r="B80" s="1788" t="s">
        <v>486</v>
      </c>
      <c r="C80" s="1426" t="s">
        <v>43</v>
      </c>
      <c r="D80" s="1212">
        <v>0</v>
      </c>
      <c r="E80" s="1212">
        <v>0</v>
      </c>
      <c r="F80" s="1212">
        <v>0</v>
      </c>
      <c r="G80" s="1212">
        <v>0</v>
      </c>
      <c r="H80" s="1212">
        <v>-0.125</v>
      </c>
      <c r="I80" s="1212">
        <v>-0.125</v>
      </c>
      <c r="J80" s="1212">
        <v>-0.125</v>
      </c>
      <c r="K80" s="1212">
        <v>-0.25</v>
      </c>
      <c r="L80" s="1211" t="s">
        <v>14</v>
      </c>
      <c r="M80" s="1434"/>
    </row>
    <row r="81" spans="1:13" s="1057" customFormat="1">
      <c r="A81" s="1203"/>
      <c r="B81" s="1749"/>
      <c r="C81" s="1427" t="s">
        <v>44</v>
      </c>
      <c r="D81" s="1215">
        <v>0</v>
      </c>
      <c r="E81" s="1215">
        <v>0</v>
      </c>
      <c r="F81" s="1215">
        <v>0</v>
      </c>
      <c r="G81" s="1215">
        <v>0</v>
      </c>
      <c r="H81" s="1215">
        <v>-0.125</v>
      </c>
      <c r="I81" s="1215">
        <v>-0.125</v>
      </c>
      <c r="J81" s="1215">
        <v>-0.125</v>
      </c>
      <c r="K81" s="1215">
        <v>-0.25</v>
      </c>
      <c r="L81" s="1214" t="s">
        <v>14</v>
      </c>
      <c r="M81" s="1434"/>
    </row>
    <row r="82" spans="1:13" s="1057" customFormat="1" ht="15.75" thickBot="1">
      <c r="A82" s="1203"/>
      <c r="B82" s="1789"/>
      <c r="C82" s="1210" t="s">
        <v>89</v>
      </c>
      <c r="D82" s="1277">
        <v>-0.25</v>
      </c>
      <c r="E82" s="1277">
        <v>-0.25</v>
      </c>
      <c r="F82" s="1277">
        <v>-0.25</v>
      </c>
      <c r="G82" s="1277">
        <v>-0.25</v>
      </c>
      <c r="H82" s="1277">
        <v>-0.25</v>
      </c>
      <c r="I82" s="1277">
        <v>-0.375</v>
      </c>
      <c r="J82" s="1277">
        <v>-0.375</v>
      </c>
      <c r="K82" s="1277" t="s">
        <v>14</v>
      </c>
      <c r="L82" s="1276" t="s">
        <v>14</v>
      </c>
      <c r="M82" s="1434"/>
    </row>
    <row r="83" spans="1:13" s="1057" customFormat="1">
      <c r="A83" s="1203"/>
      <c r="B83" s="1788" t="s">
        <v>210</v>
      </c>
      <c r="C83" s="1426" t="s">
        <v>314</v>
      </c>
      <c r="D83" s="1212">
        <v>0.10000000000002274</v>
      </c>
      <c r="E83" s="1212">
        <v>0.10000000000002274</v>
      </c>
      <c r="F83" s="1212">
        <v>0.10000000000002274</v>
      </c>
      <c r="G83" s="1212">
        <v>0.10000000000002274</v>
      </c>
      <c r="H83" s="1212">
        <v>0.10000000000002274</v>
      </c>
      <c r="I83" s="1212">
        <v>0.10000000000002274</v>
      </c>
      <c r="J83" s="1212">
        <v>0.10000000000002274</v>
      </c>
      <c r="K83" s="1212">
        <v>0.10000000000002274</v>
      </c>
      <c r="L83" s="1211">
        <v>0.10000000000002274</v>
      </c>
      <c r="M83" s="1434"/>
    </row>
    <row r="84" spans="1:13" s="1057" customFormat="1">
      <c r="A84" s="1203"/>
      <c r="B84" s="1749"/>
      <c r="C84" s="1427" t="s">
        <v>313</v>
      </c>
      <c r="D84" s="1215">
        <v>0.10000000000002274</v>
      </c>
      <c r="E84" s="1215">
        <v>0.10000000000002274</v>
      </c>
      <c r="F84" s="1215">
        <v>0.10000000000002274</v>
      </c>
      <c r="G84" s="1215">
        <v>0.10000000000002274</v>
      </c>
      <c r="H84" s="1215">
        <v>0.10000000000002274</v>
      </c>
      <c r="I84" s="1215">
        <v>0.10000000000002274</v>
      </c>
      <c r="J84" s="1215">
        <v>0.10000000000002274</v>
      </c>
      <c r="K84" s="1215">
        <v>0.10000000000002274</v>
      </c>
      <c r="L84" s="1214">
        <v>0.10000000000002274</v>
      </c>
      <c r="M84" s="1434"/>
    </row>
    <row r="85" spans="1:13" s="1057" customFormat="1">
      <c r="A85" s="1203"/>
      <c r="B85" s="1749"/>
      <c r="C85" s="1427" t="s">
        <v>312</v>
      </c>
      <c r="D85" s="1215">
        <v>0.10000000000002274</v>
      </c>
      <c r="E85" s="1215">
        <v>0.10000000000002274</v>
      </c>
      <c r="F85" s="1215">
        <v>0.10000000000002274</v>
      </c>
      <c r="G85" s="1215">
        <v>0.10000000000002274</v>
      </c>
      <c r="H85" s="1215">
        <v>0.10000000000002274</v>
      </c>
      <c r="I85" s="1215">
        <v>0.10000000000002274</v>
      </c>
      <c r="J85" s="1215">
        <v>0.10000000000002274</v>
      </c>
      <c r="K85" s="1215">
        <v>0.10000000000002274</v>
      </c>
      <c r="L85" s="1214">
        <v>0.10000000000002274</v>
      </c>
      <c r="M85" s="1434"/>
    </row>
    <row r="86" spans="1:13" s="1057" customFormat="1">
      <c r="A86" s="1203"/>
      <c r="B86" s="1749"/>
      <c r="C86" s="1427" t="s">
        <v>396</v>
      </c>
      <c r="D86" s="1215">
        <v>0.10000000000002274</v>
      </c>
      <c r="E86" s="1215">
        <v>0.10000000000002274</v>
      </c>
      <c r="F86" s="1215">
        <v>0.10000000000002274</v>
      </c>
      <c r="G86" s="1215">
        <v>0.10000000000002274</v>
      </c>
      <c r="H86" s="1215">
        <v>0.10000000000002274</v>
      </c>
      <c r="I86" s="1215">
        <v>0.10000000000002274</v>
      </c>
      <c r="J86" s="1215">
        <v>0.10000000000002274</v>
      </c>
      <c r="K86" s="1215">
        <v>0.10000000000002274</v>
      </c>
      <c r="L86" s="1214">
        <v>0.10000000000002274</v>
      </c>
      <c r="M86" s="1434"/>
    </row>
    <row r="87" spans="1:13" s="1057" customFormat="1" ht="15.75" thickBot="1">
      <c r="A87" s="1203"/>
      <c r="B87" s="1789"/>
      <c r="C87" s="1210" t="s">
        <v>311</v>
      </c>
      <c r="D87" s="1277">
        <v>0</v>
      </c>
      <c r="E87" s="1277">
        <v>0</v>
      </c>
      <c r="F87" s="1277">
        <v>0</v>
      </c>
      <c r="G87" s="1277">
        <v>0</v>
      </c>
      <c r="H87" s="1277">
        <v>0</v>
      </c>
      <c r="I87" s="1277">
        <v>0</v>
      </c>
      <c r="J87" s="1277">
        <v>0</v>
      </c>
      <c r="K87" s="1277">
        <v>0</v>
      </c>
      <c r="L87" s="1276">
        <v>0</v>
      </c>
      <c r="M87" s="1434"/>
    </row>
    <row r="88" spans="1:13" s="1057" customFormat="1">
      <c r="A88" s="1203"/>
      <c r="B88" s="1788" t="s">
        <v>310</v>
      </c>
      <c r="C88" s="1427" t="s">
        <v>706</v>
      </c>
      <c r="D88" s="1274">
        <v>-0.25</v>
      </c>
      <c r="E88" s="1274">
        <v>-0.25</v>
      </c>
      <c r="F88" s="1274">
        <v>-0.25</v>
      </c>
      <c r="G88" s="1274">
        <v>-0.25</v>
      </c>
      <c r="H88" s="1274">
        <v>-0.25</v>
      </c>
      <c r="I88" s="1274">
        <v>-0.25</v>
      </c>
      <c r="J88" s="1274">
        <v>-0.25</v>
      </c>
      <c r="K88" s="1274">
        <v>-0.375</v>
      </c>
      <c r="L88" s="1273">
        <v>-0.375</v>
      </c>
      <c r="M88" s="1434"/>
    </row>
    <row r="89" spans="1:13" s="1057" customFormat="1">
      <c r="A89" s="1203"/>
      <c r="B89" s="1749"/>
      <c r="C89" s="1427" t="s">
        <v>412</v>
      </c>
      <c r="D89" s="1215">
        <v>-0.125</v>
      </c>
      <c r="E89" s="1215">
        <v>-0.125</v>
      </c>
      <c r="F89" s="1215">
        <v>-0.125</v>
      </c>
      <c r="G89" s="1215">
        <v>-0.125</v>
      </c>
      <c r="H89" s="1215">
        <v>-0.125</v>
      </c>
      <c r="I89" s="1215">
        <v>-0.125</v>
      </c>
      <c r="J89" s="1215">
        <v>-0.125</v>
      </c>
      <c r="K89" s="1215">
        <v>-0.25</v>
      </c>
      <c r="L89" s="1214">
        <v>-0.25</v>
      </c>
      <c r="M89" s="1434"/>
    </row>
    <row r="90" spans="1:13" s="1057" customFormat="1">
      <c r="A90" s="1203"/>
      <c r="B90" s="1749"/>
      <c r="C90" s="1427" t="s">
        <v>413</v>
      </c>
      <c r="D90" s="1215">
        <v>0</v>
      </c>
      <c r="E90" s="1215">
        <v>0</v>
      </c>
      <c r="F90" s="1215">
        <v>0</v>
      </c>
      <c r="G90" s="1215">
        <v>0</v>
      </c>
      <c r="H90" s="1215">
        <v>0</v>
      </c>
      <c r="I90" s="1215">
        <v>0</v>
      </c>
      <c r="J90" s="1215">
        <v>0</v>
      </c>
      <c r="K90" s="1215">
        <v>0</v>
      </c>
      <c r="L90" s="1214">
        <v>0</v>
      </c>
      <c r="M90" s="1434"/>
    </row>
    <row r="91" spans="1:13" s="1057" customFormat="1">
      <c r="A91" s="1203"/>
      <c r="B91" s="1749"/>
      <c r="C91" s="1427" t="s">
        <v>414</v>
      </c>
      <c r="D91" s="1215">
        <v>0.25</v>
      </c>
      <c r="E91" s="1215">
        <v>0.25</v>
      </c>
      <c r="F91" s="1215">
        <v>0.25</v>
      </c>
      <c r="G91" s="1215">
        <v>0.25</v>
      </c>
      <c r="H91" s="1215">
        <v>0.25</v>
      </c>
      <c r="I91" s="1215">
        <v>0.25</v>
      </c>
      <c r="J91" s="1215">
        <v>0.25</v>
      </c>
      <c r="K91" s="1215">
        <v>0</v>
      </c>
      <c r="L91" s="1214">
        <v>0</v>
      </c>
      <c r="M91" s="1475"/>
    </row>
    <row r="92" spans="1:13" s="1057" customFormat="1" ht="15.75" thickBot="1">
      <c r="A92" s="1203"/>
      <c r="B92" s="1749"/>
      <c r="C92" s="1427" t="s">
        <v>415</v>
      </c>
      <c r="D92" s="1293">
        <v>0.375</v>
      </c>
      <c r="E92" s="1293">
        <v>0.375</v>
      </c>
      <c r="F92" s="1293">
        <v>0.375</v>
      </c>
      <c r="G92" s="1293">
        <v>0.375</v>
      </c>
      <c r="H92" s="1293">
        <v>0.375</v>
      </c>
      <c r="I92" s="1293">
        <v>0.375</v>
      </c>
      <c r="J92" s="1293">
        <v>0.375</v>
      </c>
      <c r="K92" s="1293">
        <v>0</v>
      </c>
      <c r="L92" s="1292" t="s">
        <v>14</v>
      </c>
      <c r="M92" s="1476"/>
    </row>
    <row r="93" spans="1:13" s="1057" customFormat="1">
      <c r="A93" s="1203"/>
      <c r="B93" s="1788" t="s">
        <v>60</v>
      </c>
      <c r="C93" s="1426" t="s">
        <v>29</v>
      </c>
      <c r="D93" s="1212">
        <v>-1</v>
      </c>
      <c r="E93" s="1212">
        <v>-1</v>
      </c>
      <c r="F93" s="1212">
        <v>-1</v>
      </c>
      <c r="G93" s="1212">
        <v>-1</v>
      </c>
      <c r="H93" s="1212">
        <v>-1</v>
      </c>
      <c r="I93" s="1212">
        <v>-1</v>
      </c>
      <c r="J93" s="1212">
        <v>-1</v>
      </c>
      <c r="K93" s="1212" t="s">
        <v>14</v>
      </c>
      <c r="L93" s="1211" t="s">
        <v>14</v>
      </c>
      <c r="M93" s="1061"/>
    </row>
    <row r="94" spans="1:13" s="1057" customFormat="1" ht="15.75" thickBot="1">
      <c r="A94" s="1203"/>
      <c r="B94" s="1789"/>
      <c r="C94" s="1210" t="s">
        <v>61</v>
      </c>
      <c r="D94" s="1277">
        <v>-1.875</v>
      </c>
      <c r="E94" s="1277">
        <v>-1.875</v>
      </c>
      <c r="F94" s="1277">
        <v>-2.375</v>
      </c>
      <c r="G94" s="1277">
        <v>-2.875</v>
      </c>
      <c r="H94" s="1277">
        <v>-3.375</v>
      </c>
      <c r="I94" s="1277">
        <v>-4</v>
      </c>
      <c r="J94" s="1277" t="s">
        <v>14</v>
      </c>
      <c r="K94" s="1277" t="s">
        <v>14</v>
      </c>
      <c r="L94" s="1276" t="s">
        <v>14</v>
      </c>
      <c r="M94" s="1061"/>
    </row>
    <row r="95" spans="1:13" s="1057" customFormat="1">
      <c r="A95" s="1203"/>
      <c r="B95" s="1788" t="s">
        <v>45</v>
      </c>
      <c r="C95" s="1426" t="s">
        <v>407</v>
      </c>
      <c r="D95" s="1212">
        <v>0</v>
      </c>
      <c r="E95" s="1212">
        <v>0</v>
      </c>
      <c r="F95" s="1212">
        <v>0</v>
      </c>
      <c r="G95" s="1212">
        <v>0</v>
      </c>
      <c r="H95" s="1212">
        <v>0</v>
      </c>
      <c r="I95" s="1212">
        <v>0</v>
      </c>
      <c r="J95" s="1212">
        <v>0</v>
      </c>
      <c r="K95" s="1212">
        <v>0</v>
      </c>
      <c r="L95" s="1211">
        <v>0</v>
      </c>
      <c r="M95" s="1061"/>
    </row>
    <row r="96" spans="1:13" s="1057" customFormat="1">
      <c r="A96" s="1203"/>
      <c r="B96" s="1749"/>
      <c r="C96" s="1427" t="s">
        <v>408</v>
      </c>
      <c r="D96" s="1215">
        <v>-0.375</v>
      </c>
      <c r="E96" s="1215">
        <v>-0.375</v>
      </c>
      <c r="F96" s="1215">
        <v>-0.375</v>
      </c>
      <c r="G96" s="1215">
        <v>-0.375</v>
      </c>
      <c r="H96" s="1215">
        <v>-0.375</v>
      </c>
      <c r="I96" s="1215">
        <v>-0.375</v>
      </c>
      <c r="J96" s="1215">
        <v>-0.5</v>
      </c>
      <c r="K96" s="1215">
        <v>-0.75</v>
      </c>
      <c r="L96" s="1214">
        <v>-1</v>
      </c>
      <c r="M96" s="1061"/>
    </row>
    <row r="97" spans="1:13" s="1057" customFormat="1" ht="15.75" thickBot="1">
      <c r="A97" s="1203"/>
      <c r="B97" s="1789"/>
      <c r="C97" s="1210" t="s">
        <v>409</v>
      </c>
      <c r="D97" s="1277">
        <v>-0.5</v>
      </c>
      <c r="E97" s="1277">
        <v>-0.5</v>
      </c>
      <c r="F97" s="1277">
        <v>-0.5</v>
      </c>
      <c r="G97" s="1277">
        <v>-0.5</v>
      </c>
      <c r="H97" s="1277">
        <v>-0.5</v>
      </c>
      <c r="I97" s="1277">
        <v>-0.5</v>
      </c>
      <c r="J97" s="1277">
        <v>-0.75</v>
      </c>
      <c r="K97" s="1277" t="s">
        <v>14</v>
      </c>
      <c r="L97" s="1276" t="s">
        <v>14</v>
      </c>
      <c r="M97" s="1061"/>
    </row>
    <row r="98" spans="1:13" s="1057" customFormat="1" ht="15.75" thickBot="1">
      <c r="A98" s="1203"/>
      <c r="B98" s="1314" t="s">
        <v>678</v>
      </c>
      <c r="C98" s="1314" t="s">
        <v>542</v>
      </c>
      <c r="D98" s="1218">
        <v>-1</v>
      </c>
      <c r="E98" s="1218">
        <v>-1</v>
      </c>
      <c r="F98" s="1218">
        <v>-1.25</v>
      </c>
      <c r="G98" s="1218">
        <v>-1.25</v>
      </c>
      <c r="H98" s="1218">
        <v>-1.5</v>
      </c>
      <c r="I98" s="1218">
        <v>-1.5</v>
      </c>
      <c r="J98" s="1218">
        <v>-2</v>
      </c>
      <c r="K98" s="1218" t="s">
        <v>14</v>
      </c>
      <c r="L98" s="1217" t="s">
        <v>14</v>
      </c>
      <c r="M98" s="1061"/>
    </row>
    <row r="99" spans="1:13" s="1057" customFormat="1">
      <c r="A99" s="1203"/>
      <c r="B99" s="1788" t="s">
        <v>62</v>
      </c>
      <c r="C99" s="1427" t="s">
        <v>291</v>
      </c>
      <c r="D99" s="1274">
        <v>-0.25</v>
      </c>
      <c r="E99" s="1274">
        <v>-0.25</v>
      </c>
      <c r="F99" s="1274">
        <v>-0.25</v>
      </c>
      <c r="G99" s="1274">
        <v>-0.25</v>
      </c>
      <c r="H99" s="1274">
        <v>-0.375</v>
      </c>
      <c r="I99" s="1274">
        <v>-0.375</v>
      </c>
      <c r="J99" s="1274">
        <v>-0.5</v>
      </c>
      <c r="K99" s="1274" t="s">
        <v>14</v>
      </c>
      <c r="L99" s="1273" t="s">
        <v>14</v>
      </c>
      <c r="M99" s="1061"/>
    </row>
    <row r="100" spans="1:13" s="1057" customFormat="1" ht="15" customHeight="1" thickBot="1">
      <c r="A100" s="1203"/>
      <c r="B100" s="1789"/>
      <c r="C100" s="1210" t="s">
        <v>381</v>
      </c>
      <c r="D100" s="1277">
        <v>-0.5</v>
      </c>
      <c r="E100" s="1277">
        <v>-0.5</v>
      </c>
      <c r="F100" s="1277">
        <v>-0.5</v>
      </c>
      <c r="G100" s="1277">
        <v>-0.5</v>
      </c>
      <c r="H100" s="1277">
        <v>-0.5</v>
      </c>
      <c r="I100" s="1277">
        <v>-0.5</v>
      </c>
      <c r="J100" s="1277" t="s">
        <v>14</v>
      </c>
      <c r="K100" s="1277" t="s">
        <v>14</v>
      </c>
      <c r="L100" s="1276" t="s">
        <v>14</v>
      </c>
      <c r="M100" s="1061"/>
    </row>
    <row r="101" spans="1:13" s="1057" customFormat="1" ht="15" customHeight="1">
      <c r="A101" s="1203"/>
      <c r="B101"/>
      <c r="C101"/>
      <c r="D101"/>
      <c r="E101"/>
      <c r="F101"/>
      <c r="G101"/>
      <c r="H101"/>
      <c r="I101"/>
      <c r="M101" s="1061"/>
    </row>
    <row r="102" spans="1:13" s="1057" customFormat="1" ht="15" customHeight="1">
      <c r="A102" s="1203"/>
      <c r="B102"/>
      <c r="C102"/>
      <c r="D102"/>
      <c r="E102"/>
      <c r="F102"/>
      <c r="G102"/>
      <c r="H102"/>
      <c r="I102"/>
      <c r="M102" s="1061"/>
    </row>
    <row r="103" spans="1:13" s="1057" customFormat="1" ht="15" customHeight="1">
      <c r="A103" s="1203"/>
      <c r="B103"/>
      <c r="C103"/>
      <c r="D103"/>
      <c r="E103"/>
      <c r="F103"/>
      <c r="G103"/>
      <c r="H103"/>
      <c r="I103"/>
      <c r="M103" s="1061"/>
    </row>
    <row r="104" spans="1:13" s="1057" customFormat="1" ht="15" customHeight="1">
      <c r="A104" s="1203"/>
      <c r="B104"/>
      <c r="C104"/>
      <c r="D104"/>
      <c r="E104"/>
      <c r="F104"/>
      <c r="G104"/>
      <c r="H104"/>
      <c r="I104"/>
      <c r="M104" s="1061"/>
    </row>
    <row r="105" spans="1:13" s="1057" customFormat="1" ht="15" customHeight="1">
      <c r="A105" s="1203"/>
      <c r="B105"/>
      <c r="C105"/>
      <c r="D105"/>
      <c r="E105"/>
      <c r="F105"/>
      <c r="G105"/>
      <c r="H105"/>
      <c r="I105"/>
      <c r="M105" s="1061"/>
    </row>
    <row r="106" spans="1:13" s="1057" customFormat="1" ht="15" customHeight="1">
      <c r="A106" s="1203"/>
      <c r="B106"/>
      <c r="C106"/>
      <c r="D106"/>
      <c r="E106"/>
      <c r="F106"/>
      <c r="G106"/>
      <c r="H106"/>
      <c r="I106"/>
      <c r="M106" s="1061"/>
    </row>
    <row r="107" spans="1:13" s="1057" customFormat="1">
      <c r="A107" s="1203"/>
      <c r="B107"/>
      <c r="C107"/>
      <c r="D107"/>
      <c r="E107"/>
      <c r="F107"/>
      <c r="G107"/>
      <c r="H107"/>
      <c r="I107"/>
      <c r="M107" s="1061"/>
    </row>
    <row r="108" spans="1:13" s="1057" customFormat="1">
      <c r="A108" s="1203"/>
      <c r="B108"/>
      <c r="C108"/>
      <c r="D108"/>
      <c r="E108"/>
      <c r="F108"/>
      <c r="G108"/>
      <c r="H108"/>
      <c r="I108"/>
      <c r="M108" s="1061"/>
    </row>
    <row r="109" spans="1:13" s="1057" customFormat="1">
      <c r="A109" s="1203"/>
      <c r="B109"/>
      <c r="C109"/>
      <c r="D109"/>
      <c r="E109"/>
      <c r="F109"/>
      <c r="G109"/>
      <c r="H109"/>
      <c r="I109"/>
      <c r="M109" s="1061"/>
    </row>
    <row r="110" spans="1:13" s="1057" customFormat="1">
      <c r="A110" s="1203"/>
      <c r="B110"/>
      <c r="C110"/>
      <c r="D110"/>
      <c r="E110"/>
      <c r="F110"/>
      <c r="G110"/>
      <c r="H110"/>
      <c r="I110"/>
      <c r="M110" s="1061"/>
    </row>
    <row r="111" spans="1:13" s="1057" customFormat="1">
      <c r="A111" s="1203"/>
      <c r="M111" s="1061"/>
    </row>
    <row r="112" spans="1:13" s="1057" customFormat="1">
      <c r="A112" s="1203"/>
      <c r="M112" s="1061"/>
    </row>
    <row r="113" spans="1:13" s="1057" customFormat="1">
      <c r="A113" s="1203"/>
      <c r="M113" s="1061"/>
    </row>
    <row r="114" spans="1:13" s="1057" customFormat="1">
      <c r="A114" s="1203"/>
      <c r="M114" s="1061"/>
    </row>
    <row r="115" spans="1:13" s="1057" customFormat="1">
      <c r="A115" s="1203"/>
      <c r="M115" s="1061"/>
    </row>
    <row r="116" spans="1:13" s="1057" customFormat="1">
      <c r="A116" s="1203"/>
      <c r="M116" s="1061"/>
    </row>
    <row r="117" spans="1:13" s="1057" customFormat="1">
      <c r="A117" s="1203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>
      <c r="A125" s="1203"/>
      <c r="G125" s="1202"/>
      <c r="H125" s="1201"/>
      <c r="M125" s="1061"/>
    </row>
    <row r="126" spans="1:13" s="1057" customFormat="1">
      <c r="A126" s="1203"/>
      <c r="G126" s="1202"/>
      <c r="H126" s="1201"/>
      <c r="M126" s="1061"/>
    </row>
    <row r="127" spans="1:13" s="1057" customFormat="1">
      <c r="A127" s="1203"/>
      <c r="G127" s="1202"/>
      <c r="H127" s="1201"/>
      <c r="M127" s="1061"/>
    </row>
    <row r="128" spans="1:13" s="1057" customFormat="1">
      <c r="A128" s="1203"/>
      <c r="G128" s="1202"/>
      <c r="H128" s="1201"/>
      <c r="M128" s="1061"/>
    </row>
    <row r="129" spans="1:13" s="1057" customFormat="1">
      <c r="A129" s="1203"/>
      <c r="G129" s="1202"/>
      <c r="H129" s="1201"/>
      <c r="M129" s="1061"/>
    </row>
    <row r="130" spans="1:13" s="1057" customFormat="1">
      <c r="A130" s="1203"/>
      <c r="M130" s="1061"/>
    </row>
    <row r="131" spans="1:13" s="1057" customFormat="1">
      <c r="A131" s="1203"/>
      <c r="M131" s="1061"/>
    </row>
    <row r="132" spans="1:13" s="1057" customFormat="1">
      <c r="A132" s="1203"/>
      <c r="M132" s="1061"/>
    </row>
    <row r="133" spans="1:13" s="1057" customFormat="1" ht="15.75" thickBot="1">
      <c r="A133" s="1203"/>
      <c r="M133" s="1061"/>
    </row>
    <row r="134" spans="1:13" s="1057" customFormat="1" ht="15" customHeight="1">
      <c r="A134" s="1066"/>
      <c r="B134" s="1816" t="s">
        <v>192</v>
      </c>
      <c r="C134" s="1816"/>
      <c r="D134" s="1816"/>
      <c r="E134" s="1816"/>
      <c r="F134" s="1816"/>
      <c r="G134" s="1816"/>
      <c r="H134" s="1816"/>
      <c r="I134" s="1816"/>
      <c r="J134" s="1816"/>
      <c r="K134" s="1816"/>
      <c r="L134" s="1816"/>
      <c r="M134" s="1849"/>
    </row>
    <row r="135" spans="1:13" s="1057" customFormat="1">
      <c r="A135" s="1063"/>
      <c r="B135" s="1817"/>
      <c r="C135" s="1817"/>
      <c r="D135" s="1817"/>
      <c r="E135" s="1817"/>
      <c r="F135" s="1817"/>
      <c r="G135" s="1817"/>
      <c r="H135" s="1817"/>
      <c r="I135" s="1817"/>
      <c r="J135" s="1817"/>
      <c r="K135" s="1817"/>
      <c r="L135" s="1817"/>
      <c r="M135" s="1850"/>
    </row>
    <row r="136" spans="1:13" s="1057" customFormat="1">
      <c r="A136" s="1063"/>
      <c r="B136" s="1817"/>
      <c r="C136" s="1817"/>
      <c r="D136" s="1817"/>
      <c r="E136" s="1817"/>
      <c r="F136" s="1817"/>
      <c r="G136" s="1817"/>
      <c r="H136" s="1817"/>
      <c r="I136" s="1817"/>
      <c r="J136" s="1817"/>
      <c r="K136" s="1817"/>
      <c r="L136" s="1817"/>
      <c r="M136" s="1850"/>
    </row>
    <row r="137" spans="1:13" s="1057" customFormat="1" ht="15.75" thickBot="1">
      <c r="A137" s="1060"/>
      <c r="B137" s="1818"/>
      <c r="C137" s="1818"/>
      <c r="D137" s="1818"/>
      <c r="E137" s="1818"/>
      <c r="F137" s="1818"/>
      <c r="G137" s="1818"/>
      <c r="H137" s="1818"/>
      <c r="I137" s="1818"/>
      <c r="J137" s="1818"/>
      <c r="K137" s="1818"/>
      <c r="L137" s="1818"/>
      <c r="M137" s="1851"/>
    </row>
  </sheetData>
  <mergeCells count="20">
    <mergeCell ref="B80:B82"/>
    <mergeCell ref="B83:B87"/>
    <mergeCell ref="B88:B92"/>
    <mergeCell ref="B93:B94"/>
    <mergeCell ref="O10:Q10"/>
    <mergeCell ref="B134:M137"/>
    <mergeCell ref="D63:L63"/>
    <mergeCell ref="B65:B71"/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margins!$N$165:$N$167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margins!$N$161:$N$163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margins!$AL$149:$AL$150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margins!$AL$146:$AL$147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margins!$AL$153:$AL$160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margins!$AL$139:$AL$140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margins!$AL$142:$AL$144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margins!$AL$128:$AL$131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margins!$AL$133:$AL$135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margins!$AL$114:$AL$119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margins!$AL$121:$AL$126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6"/>
  <sheetViews>
    <sheetView showGridLines="0" topLeftCell="B11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683</v>
      </c>
      <c r="N4" s="1"/>
      <c r="O4" s="1"/>
    </row>
    <row r="5" spans="3:20" ht="19.5">
      <c r="C5" s="9"/>
      <c r="F5" s="35"/>
      <c r="G5" s="35"/>
      <c r="H5" s="35"/>
      <c r="I5" s="35"/>
      <c r="J5" s="35"/>
      <c r="K5" s="31" t="s">
        <v>1</v>
      </c>
      <c r="N5" s="1"/>
      <c r="O5" s="1"/>
    </row>
    <row r="6" spans="3:20" ht="15.75">
      <c r="C6" s="1900" t="s">
        <v>336</v>
      </c>
      <c r="D6" s="1900"/>
      <c r="L6" s="1"/>
      <c r="N6" s="1"/>
      <c r="O6" s="1"/>
    </row>
    <row r="7" spans="3:20" ht="15.75" thickBot="1">
      <c r="C7" s="10" t="s">
        <v>3</v>
      </c>
      <c r="D7" s="11" t="s">
        <v>335</v>
      </c>
      <c r="F7" s="580" t="s">
        <v>2</v>
      </c>
      <c r="G7" s="28"/>
      <c r="H7"/>
      <c r="I7" s="36" t="s">
        <v>334</v>
      </c>
      <c r="J7"/>
      <c r="K7"/>
      <c r="N7" s="1"/>
      <c r="O7" s="1"/>
    </row>
    <row r="8" spans="3:20" ht="15.75" thickBot="1">
      <c r="C8" s="122">
        <f>margins!BJ3</f>
        <v>12.375</v>
      </c>
      <c r="D8" s="123">
        <v>110.75</v>
      </c>
      <c r="E8" s="15"/>
      <c r="F8" s="12" t="s">
        <v>6</v>
      </c>
      <c r="G8" s="13">
        <v>100</v>
      </c>
      <c r="H8"/>
      <c r="I8" s="579" t="s">
        <v>374</v>
      </c>
      <c r="J8" s="578"/>
      <c r="K8" s="578"/>
      <c r="L8" s="578"/>
      <c r="M8" s="577"/>
      <c r="R8" s="477" t="s">
        <v>380</v>
      </c>
      <c r="S8" s="478"/>
      <c r="T8" s="1577">
        <v>45978.399699074071</v>
      </c>
    </row>
    <row r="9" spans="3:20" ht="15.75" thickBot="1">
      <c r="C9" s="122">
        <f>margins!BJ4</f>
        <v>12.25</v>
      </c>
      <c r="D9" s="123">
        <v>110.625</v>
      </c>
      <c r="E9" s="18"/>
      <c r="F9" s="16" t="s">
        <v>8</v>
      </c>
      <c r="G9" s="576">
        <v>0</v>
      </c>
      <c r="H9"/>
      <c r="I9" s="91" t="s">
        <v>375</v>
      </c>
      <c r="J9"/>
      <c r="K9"/>
      <c r="M9" s="575"/>
    </row>
    <row r="10" spans="3:20" ht="15.75" thickBot="1">
      <c r="C10" s="122">
        <f>margins!BJ5</f>
        <v>12.125</v>
      </c>
      <c r="D10" s="123">
        <v>110.5</v>
      </c>
      <c r="E10" s="18"/>
      <c r="F10" s="16" t="s">
        <v>10</v>
      </c>
      <c r="G10" s="718">
        <v>-0.375</v>
      </c>
      <c r="H10"/>
      <c r="I10" s="91" t="s">
        <v>333</v>
      </c>
      <c r="J10"/>
      <c r="K10"/>
      <c r="M10" s="575"/>
      <c r="O10" s="1"/>
      <c r="R10" s="494" t="s">
        <v>207</v>
      </c>
      <c r="S10" s="495" t="s">
        <v>208</v>
      </c>
      <c r="T10" s="495" t="s">
        <v>209</v>
      </c>
    </row>
    <row r="11" spans="3:20">
      <c r="C11" s="122">
        <f>margins!BJ6</f>
        <v>12</v>
      </c>
      <c r="D11" s="123">
        <v>110.375</v>
      </c>
      <c r="E11" s="18"/>
      <c r="F11" s="721"/>
      <c r="G11" s="722"/>
      <c r="H11"/>
      <c r="I11" s="574" t="s">
        <v>332</v>
      </c>
      <c r="J11" s="573"/>
      <c r="K11" s="573"/>
      <c r="L11" s="573"/>
      <c r="M11" s="572"/>
      <c r="O11" s="1"/>
    </row>
    <row r="12" spans="3:20" ht="15.75" thickBot="1">
      <c r="C12" s="122">
        <f>margins!BJ7</f>
        <v>11.875</v>
      </c>
      <c r="D12" s="123">
        <v>110.25</v>
      </c>
      <c r="E12" s="18"/>
      <c r="F12" s="719" t="s">
        <v>331</v>
      </c>
      <c r="G12" s="720"/>
      <c r="H12"/>
      <c r="I12" s="1929" t="s">
        <v>491</v>
      </c>
      <c r="J12" s="1930"/>
      <c r="K12" s="1930"/>
      <c r="L12" s="1930"/>
      <c r="M12" s="1930"/>
      <c r="O12" s="1"/>
    </row>
    <row r="13" spans="3:20">
      <c r="C13" s="122">
        <f>margins!BJ8</f>
        <v>11.75</v>
      </c>
      <c r="D13" s="123">
        <v>110.125</v>
      </c>
      <c r="E13" s="18"/>
      <c r="F13" s="32" t="s">
        <v>84</v>
      </c>
      <c r="G13" s="34">
        <v>-0.25</v>
      </c>
      <c r="H13"/>
      <c r="I13" s="865"/>
      <c r="J13" s="866"/>
      <c r="K13" s="866"/>
      <c r="L13" s="866"/>
      <c r="M13" s="867"/>
      <c r="O13" s="1"/>
      <c r="R13" s="658" t="s">
        <v>211</v>
      </c>
      <c r="S13" s="484">
        <v>10</v>
      </c>
      <c r="T13" s="709">
        <f>VLOOKUP(S13,$C$8:$D$48,2,FALSE)</f>
        <v>107.625</v>
      </c>
    </row>
    <row r="14" spans="3:20">
      <c r="C14" s="122">
        <f>margins!BJ9</f>
        <v>11.625</v>
      </c>
      <c r="D14" s="123">
        <v>110</v>
      </c>
      <c r="E14" s="18"/>
      <c r="F14" s="32" t="s">
        <v>85</v>
      </c>
      <c r="G14" s="34">
        <v>-0.32500000000000001</v>
      </c>
      <c r="H14"/>
      <c r="I14" s="868"/>
      <c r="J14"/>
      <c r="K14"/>
      <c r="M14" s="575"/>
      <c r="O14" s="1"/>
      <c r="R14" s="660" t="s">
        <v>386</v>
      </c>
      <c r="S14" s="485" t="s">
        <v>21</v>
      </c>
      <c r="T14" s="489"/>
    </row>
    <row r="15" spans="3:20" ht="15" customHeight="1">
      <c r="C15" s="122">
        <f>margins!BJ10</f>
        <v>11.5</v>
      </c>
      <c r="D15" s="123">
        <v>109.875</v>
      </c>
      <c r="E15" s="18"/>
      <c r="F15" s="32" t="s">
        <v>86</v>
      </c>
      <c r="G15" s="34">
        <v>-0.55000000000000004</v>
      </c>
      <c r="H15"/>
      <c r="I15" s="868"/>
      <c r="J15"/>
      <c r="K15"/>
      <c r="M15" s="575"/>
      <c r="R15" s="660" t="s">
        <v>212</v>
      </c>
      <c r="S15" s="485" t="s">
        <v>321</v>
      </c>
      <c r="T15" s="489"/>
    </row>
    <row r="16" spans="3:20" ht="15" customHeight="1">
      <c r="C16" s="122">
        <f>margins!BJ11</f>
        <v>11.375</v>
      </c>
      <c r="D16" s="123">
        <v>109.75</v>
      </c>
      <c r="E16" s="18"/>
      <c r="F16" s="32" t="s">
        <v>87</v>
      </c>
      <c r="G16" s="34">
        <v>-0.65</v>
      </c>
      <c r="I16" s="869"/>
      <c r="J16"/>
      <c r="K16"/>
      <c r="M16" s="575"/>
      <c r="R16" s="660" t="s">
        <v>210</v>
      </c>
      <c r="S16" s="485" t="s">
        <v>311</v>
      </c>
      <c r="T16" s="489">
        <f>IF(S16="Choose a Selection",0,(INDEX($H$21:$P$75,MATCH(S16,$G$21:$G$75,0),MATCH($S$14,$H$20:$P$20,0),1)))</f>
        <v>0</v>
      </c>
    </row>
    <row r="17" spans="3:20" ht="15" customHeight="1">
      <c r="C17" s="122">
        <f>margins!BJ12</f>
        <v>11.25</v>
      </c>
      <c r="D17" s="123">
        <v>109.625</v>
      </c>
      <c r="E17" s="18"/>
      <c r="F17" s="569" t="s">
        <v>330</v>
      </c>
      <c r="G17" s="33"/>
      <c r="I17" s="868"/>
      <c r="J17"/>
      <c r="K17"/>
      <c r="M17" s="575"/>
      <c r="R17" s="660" t="s">
        <v>4</v>
      </c>
      <c r="S17" s="485" t="s">
        <v>203</v>
      </c>
      <c r="T17" s="489">
        <f>IF(S17="Full Doc",INDEX($H$21:$P$28,MATCH(S15,G21:G28,0),MATCH(S14,$H$20:$P$20,0),1),0)</f>
        <v>0</v>
      </c>
    </row>
    <row r="18" spans="3:20" ht="15" customHeight="1">
      <c r="C18" s="122">
        <f>margins!BJ13</f>
        <v>11.125</v>
      </c>
      <c r="D18" s="123">
        <v>109.5</v>
      </c>
      <c r="E18" s="18"/>
      <c r="I18" s="868"/>
      <c r="J18"/>
      <c r="K18"/>
      <c r="M18" s="575"/>
      <c r="R18" s="660" t="s">
        <v>557</v>
      </c>
      <c r="S18" s="485" t="s">
        <v>203</v>
      </c>
      <c r="T18" s="489">
        <f>IF(S18="Choose a Selection",0,(INDEX($H$29:$P$36,MATCH($S$15,G29:G36,0),MATCH($S$14,$H$20:$P$20,0),1)))</f>
        <v>0</v>
      </c>
    </row>
    <row r="19" spans="3:20" ht="15" customHeight="1">
      <c r="C19" s="122">
        <f>margins!BJ14</f>
        <v>11</v>
      </c>
      <c r="D19" s="123">
        <v>109.375</v>
      </c>
      <c r="E19" s="18"/>
      <c r="F19" s="1912" t="s">
        <v>244</v>
      </c>
      <c r="G19" s="1913"/>
      <c r="H19" s="1915" t="s">
        <v>329</v>
      </c>
      <c r="I19" s="1915"/>
      <c r="J19" s="1915"/>
      <c r="K19" s="1915"/>
      <c r="L19" s="1915"/>
      <c r="M19" s="1915"/>
      <c r="N19" s="1915"/>
      <c r="O19" s="1915"/>
      <c r="P19" s="1916"/>
      <c r="R19" s="660" t="s">
        <v>558</v>
      </c>
      <c r="S19" s="485" t="s">
        <v>203</v>
      </c>
      <c r="T19" s="489">
        <f>IF(S19="Choose a Selection",0,(INDEX($H$45:$P$47,MATCH(S19,G45:G47,0),MATCH($S$14,$H$20:$P$20,0),1)))</f>
        <v>0</v>
      </c>
    </row>
    <row r="20" spans="3:20" ht="15" customHeight="1">
      <c r="C20" s="122">
        <f>margins!BJ15</f>
        <v>10.875</v>
      </c>
      <c r="D20" s="123">
        <v>109.25</v>
      </c>
      <c r="E20" s="18"/>
      <c r="F20" s="101"/>
      <c r="G20" s="102"/>
      <c r="H20" s="102" t="s">
        <v>15</v>
      </c>
      <c r="I20" s="102" t="s">
        <v>16</v>
      </c>
      <c r="J20" s="102" t="s">
        <v>17</v>
      </c>
      <c r="K20" s="102" t="s">
        <v>18</v>
      </c>
      <c r="L20" s="102" t="s">
        <v>19</v>
      </c>
      <c r="M20" s="102" t="s">
        <v>20</v>
      </c>
      <c r="N20" s="29" t="s">
        <v>21</v>
      </c>
      <c r="O20" s="102" t="s">
        <v>22</v>
      </c>
      <c r="P20" s="29" t="s">
        <v>23</v>
      </c>
      <c r="R20" s="660" t="s">
        <v>559</v>
      </c>
      <c r="S20" s="485" t="s">
        <v>203</v>
      </c>
      <c r="T20" s="489">
        <f>IF(S20="Choose a Selection",0,(INDEX($H$37:$P$44,MATCH($S$15,G37:G44,0),MATCH($S$14,$H$20:$P$20,0),1)))</f>
        <v>0</v>
      </c>
    </row>
    <row r="21" spans="3:20" ht="15" customHeight="1">
      <c r="C21" s="122">
        <f>margins!BJ16</f>
        <v>10.75</v>
      </c>
      <c r="D21" s="123">
        <v>109.125</v>
      </c>
      <c r="E21" s="18"/>
      <c r="F21" s="567" t="s">
        <v>4</v>
      </c>
      <c r="G21" s="562" t="s">
        <v>326</v>
      </c>
      <c r="H21" s="543">
        <v>1.875</v>
      </c>
      <c r="I21" s="533">
        <v>1.875</v>
      </c>
      <c r="J21" s="561">
        <v>1.625</v>
      </c>
      <c r="K21" s="561">
        <v>1.375</v>
      </c>
      <c r="L21" s="561">
        <v>1.125</v>
      </c>
      <c r="M21" s="561">
        <v>0.25</v>
      </c>
      <c r="N21" s="561">
        <v>-0.625</v>
      </c>
      <c r="O21" s="561">
        <v>-4.5</v>
      </c>
      <c r="P21" s="560">
        <v>-6.125</v>
      </c>
      <c r="R21" s="660" t="s">
        <v>310</v>
      </c>
      <c r="S21" s="485" t="s">
        <v>203</v>
      </c>
      <c r="T21" s="489">
        <f>IF(S21="Choose a Selection",0,(INDEX($H$21:$P$76,MATCH(S21,$G$21:$G$76,0),MATCH($S$14,$H$20:$P$20,0),1)))</f>
        <v>0</v>
      </c>
    </row>
    <row r="22" spans="3:20" ht="15" customHeight="1">
      <c r="C22" s="122">
        <f>margins!BJ17</f>
        <v>10.625</v>
      </c>
      <c r="D22" s="123">
        <v>108.875</v>
      </c>
      <c r="E22" s="18"/>
      <c r="F22" s="566" t="s">
        <v>328</v>
      </c>
      <c r="G22" s="559" t="s">
        <v>325</v>
      </c>
      <c r="H22" s="541">
        <v>1.875</v>
      </c>
      <c r="I22" s="540">
        <v>1.875</v>
      </c>
      <c r="J22" s="554">
        <v>1.625</v>
      </c>
      <c r="K22" s="554">
        <v>1.375</v>
      </c>
      <c r="L22" s="554">
        <v>1.125</v>
      </c>
      <c r="M22" s="554">
        <v>0.125</v>
      </c>
      <c r="N22" s="554">
        <v>-0.75</v>
      </c>
      <c r="O22" s="554">
        <v>-4.75</v>
      </c>
      <c r="P22" s="558">
        <v>-6.375</v>
      </c>
      <c r="R22" s="660" t="s">
        <v>45</v>
      </c>
      <c r="S22" s="485" t="s">
        <v>203</v>
      </c>
      <c r="T22" s="489">
        <f>IF(S22="Choose a Selection",0,(INDEX($H$21:$P$76,MATCH(S22,$G$21:$G$76,0),MATCH($S$14,$H$20:$P$20,0),1)))</f>
        <v>0</v>
      </c>
    </row>
    <row r="23" spans="3:20" ht="15" customHeight="1">
      <c r="C23" s="122">
        <f>margins!BJ18</f>
        <v>10.5</v>
      </c>
      <c r="D23" s="123">
        <v>108.625</v>
      </c>
      <c r="E23" s="18"/>
      <c r="F23" s="568"/>
      <c r="G23" s="556" t="s">
        <v>324</v>
      </c>
      <c r="H23" s="555">
        <v>1.375</v>
      </c>
      <c r="I23" s="554">
        <v>1.375</v>
      </c>
      <c r="J23" s="554">
        <v>1.125</v>
      </c>
      <c r="K23" s="554">
        <v>0.875</v>
      </c>
      <c r="L23" s="554">
        <v>0.625</v>
      </c>
      <c r="M23" s="554">
        <v>-0.5</v>
      </c>
      <c r="N23" s="554">
        <v>-1.5</v>
      </c>
      <c r="O23" s="554">
        <v>-5.375</v>
      </c>
      <c r="P23" s="558">
        <v>-7.375</v>
      </c>
      <c r="R23" s="660" t="s">
        <v>56</v>
      </c>
      <c r="S23" s="485" t="s">
        <v>203</v>
      </c>
      <c r="T23" s="489">
        <f>IF(S23="Choose a Selection",0,(INDEX($H$21:$P$76,MATCH(S23,$G$21:$G$76,0),MATCH($S$14,$H$20:$P$20,0),1)))</f>
        <v>0</v>
      </c>
    </row>
    <row r="24" spans="3:20" ht="15" customHeight="1">
      <c r="C24" s="122">
        <f>margins!BJ19</f>
        <v>10.375</v>
      </c>
      <c r="D24" s="123">
        <v>108.375</v>
      </c>
      <c r="E24" s="18"/>
      <c r="F24" s="567"/>
      <c r="G24" s="556" t="s">
        <v>323</v>
      </c>
      <c r="H24" s="555">
        <v>1</v>
      </c>
      <c r="I24" s="554">
        <v>1</v>
      </c>
      <c r="J24" s="554">
        <v>0.625</v>
      </c>
      <c r="K24" s="554">
        <v>0.375</v>
      </c>
      <c r="L24" s="554">
        <v>0.125</v>
      </c>
      <c r="M24" s="554">
        <v>-1.125</v>
      </c>
      <c r="N24" s="554">
        <v>-2.75</v>
      </c>
      <c r="O24" s="554">
        <v>-6.75</v>
      </c>
      <c r="P24" s="558">
        <v>-9</v>
      </c>
      <c r="R24" s="660" t="s">
        <v>60</v>
      </c>
      <c r="S24" s="485" t="s">
        <v>299</v>
      </c>
      <c r="T24" s="489">
        <f>IF(S24="Choose a Selection",0,(INDEX($H$21:$P$76,MATCH(S24,$G$21:$G$76,0),MATCH($S$14,$H$20:$P$20,0),1)))</f>
        <v>0</v>
      </c>
    </row>
    <row r="25" spans="3:20" ht="15" customHeight="1">
      <c r="C25" s="122">
        <f>margins!BJ20</f>
        <v>10.25</v>
      </c>
      <c r="D25" s="123">
        <v>108.125</v>
      </c>
      <c r="E25" s="18"/>
      <c r="F25" s="566"/>
      <c r="G25" s="556" t="s">
        <v>322</v>
      </c>
      <c r="H25" s="555">
        <v>0.125</v>
      </c>
      <c r="I25" s="554">
        <v>0.125</v>
      </c>
      <c r="J25" s="554">
        <v>-0.375</v>
      </c>
      <c r="K25" s="554">
        <v>-0.75</v>
      </c>
      <c r="L25" s="554">
        <v>-1</v>
      </c>
      <c r="M25" s="554">
        <v>-2</v>
      </c>
      <c r="N25" s="554">
        <v>-4</v>
      </c>
      <c r="O25" s="554">
        <v>-8.125</v>
      </c>
      <c r="P25" s="558">
        <v>-10</v>
      </c>
      <c r="R25" s="660" t="s">
        <v>62</v>
      </c>
      <c r="S25" s="485" t="s">
        <v>297</v>
      </c>
      <c r="T25" s="489">
        <f>IF(S25="Choose a Selection",0,(INDEX($H$21:$P$76,MATCH(S25,$G$21:$G$76,0),MATCH($S$14,$H$20:$P$20,0),1)))</f>
        <v>0</v>
      </c>
    </row>
    <row r="26" spans="3:20" ht="15" customHeight="1">
      <c r="C26" s="122">
        <f>margins!BJ21</f>
        <v>10.125</v>
      </c>
      <c r="D26" s="123">
        <v>107.875</v>
      </c>
      <c r="E26" s="18"/>
      <c r="F26" s="565"/>
      <c r="G26" s="556" t="s">
        <v>321</v>
      </c>
      <c r="H26" s="555">
        <v>-0.75</v>
      </c>
      <c r="I26" s="554">
        <v>-0.75</v>
      </c>
      <c r="J26" s="554">
        <v>-1.375</v>
      </c>
      <c r="K26" s="554">
        <v>-1.875</v>
      </c>
      <c r="L26" s="554">
        <v>-2.375</v>
      </c>
      <c r="M26" s="554">
        <v>-3.125</v>
      </c>
      <c r="N26" s="554">
        <v>-5.5</v>
      </c>
      <c r="O26" s="554">
        <v>-9.375</v>
      </c>
      <c r="P26" s="558">
        <v>-11.5</v>
      </c>
      <c r="R26" s="660" t="s">
        <v>217</v>
      </c>
      <c r="S26" s="485">
        <v>30</v>
      </c>
      <c r="T26" s="489">
        <f>IF(S26=15,0,G10)</f>
        <v>-0.375</v>
      </c>
    </row>
    <row r="27" spans="3:20" ht="15" customHeight="1" thickBot="1">
      <c r="C27" s="122">
        <f>margins!BJ22</f>
        <v>10</v>
      </c>
      <c r="D27" s="123">
        <v>107.625</v>
      </c>
      <c r="E27" s="18"/>
      <c r="F27" s="565"/>
      <c r="G27" s="556" t="s">
        <v>320</v>
      </c>
      <c r="H27" s="555">
        <v>-3</v>
      </c>
      <c r="I27" s="554">
        <v>-3</v>
      </c>
      <c r="J27" s="554">
        <v>-3.75</v>
      </c>
      <c r="K27" s="554">
        <v>-4.125</v>
      </c>
      <c r="L27" s="554">
        <v>-4.75</v>
      </c>
      <c r="M27" s="554">
        <v>-5.75</v>
      </c>
      <c r="N27" s="554">
        <v>-8.375</v>
      </c>
      <c r="O27" s="554">
        <v>-11.125</v>
      </c>
      <c r="P27" s="558" t="s">
        <v>14</v>
      </c>
      <c r="R27" s="662" t="s">
        <v>218</v>
      </c>
      <c r="S27" s="486"/>
      <c r="T27" s="490">
        <f>T16+T17+T18+T19+T21+T22+T23+T24+T25+T26+T20</f>
        <v>-0.375</v>
      </c>
    </row>
    <row r="28" spans="3:20" ht="15" customHeight="1" thickBot="1">
      <c r="C28" s="122">
        <f>margins!BJ23</f>
        <v>9.875</v>
      </c>
      <c r="D28" s="123">
        <v>107.375</v>
      </c>
      <c r="E28" s="18"/>
      <c r="F28" s="565"/>
      <c r="G28" s="552" t="s">
        <v>319</v>
      </c>
      <c r="H28" s="551">
        <v>-4.25</v>
      </c>
      <c r="I28" s="550">
        <v>-4.375</v>
      </c>
      <c r="J28" s="550">
        <v>-4.875</v>
      </c>
      <c r="K28" s="550">
        <v>-5.5</v>
      </c>
      <c r="L28" s="550">
        <v>-6</v>
      </c>
      <c r="M28" s="550">
        <v>-7.25</v>
      </c>
      <c r="N28" s="550">
        <v>-10.25</v>
      </c>
      <c r="O28" s="550" t="s">
        <v>14</v>
      </c>
      <c r="P28" s="564" t="s">
        <v>14</v>
      </c>
      <c r="R28" s="473"/>
      <c r="S28" s="474"/>
      <c r="T28" s="483"/>
    </row>
    <row r="29" spans="3:20" ht="15" customHeight="1" thickBot="1">
      <c r="C29" s="122">
        <f>margins!BJ24</f>
        <v>9.75</v>
      </c>
      <c r="D29" s="123">
        <v>107</v>
      </c>
      <c r="E29" s="18"/>
      <c r="F29" s="563" t="s">
        <v>327</v>
      </c>
      <c r="G29" s="562" t="s">
        <v>326</v>
      </c>
      <c r="H29" s="543">
        <v>0.875</v>
      </c>
      <c r="I29" s="533">
        <v>0.875</v>
      </c>
      <c r="J29" s="561">
        <v>0.625</v>
      </c>
      <c r="K29" s="561">
        <v>0.25</v>
      </c>
      <c r="L29" s="561">
        <v>0</v>
      </c>
      <c r="M29" s="561">
        <v>-1</v>
      </c>
      <c r="N29" s="561">
        <v>-1.875</v>
      </c>
      <c r="O29" s="561">
        <v>-5.875</v>
      </c>
      <c r="P29" s="560">
        <v>-7.625</v>
      </c>
      <c r="R29" s="475" t="s">
        <v>219</v>
      </c>
      <c r="S29" s="476"/>
      <c r="T29" s="663">
        <f>IF(ISNUMBER(MATCH("NA", T16:T26, 0)), "NA", MIN(G8,(T13+T27)))</f>
        <v>100</v>
      </c>
    </row>
    <row r="30" spans="3:20" ht="15" customHeight="1" thickBot="1">
      <c r="C30" s="122">
        <f>margins!BJ25</f>
        <v>9.625</v>
      </c>
      <c r="D30" s="123">
        <v>106.625</v>
      </c>
      <c r="E30" s="18"/>
      <c r="F30" s="654">
        <v>1099</v>
      </c>
      <c r="G30" s="559" t="s">
        <v>325</v>
      </c>
      <c r="H30" s="541">
        <v>0.875</v>
      </c>
      <c r="I30" s="540">
        <v>0.875</v>
      </c>
      <c r="J30" s="554">
        <v>0.625</v>
      </c>
      <c r="K30" s="554">
        <v>0.25</v>
      </c>
      <c r="L30" s="554">
        <v>0</v>
      </c>
      <c r="M30" s="554">
        <v>-1.125</v>
      </c>
      <c r="N30" s="554">
        <v>-2</v>
      </c>
      <c r="O30" s="554">
        <v>-6.125</v>
      </c>
      <c r="P30" s="558">
        <v>-7.875</v>
      </c>
      <c r="R30" s="470"/>
      <c r="S30" s="470"/>
      <c r="T30" s="470"/>
    </row>
    <row r="31" spans="3:20" ht="15" customHeight="1" thickBot="1">
      <c r="C31" s="122">
        <f>margins!BJ26</f>
        <v>9.5</v>
      </c>
      <c r="D31" s="123">
        <v>106.25</v>
      </c>
      <c r="E31" s="18"/>
      <c r="F31" s="557"/>
      <c r="G31" s="556" t="s">
        <v>324</v>
      </c>
      <c r="H31" s="555">
        <v>0.375</v>
      </c>
      <c r="I31" s="554">
        <v>0.375</v>
      </c>
      <c r="J31" s="554">
        <v>0.125</v>
      </c>
      <c r="K31" s="554">
        <v>-0.25</v>
      </c>
      <c r="L31" s="554">
        <v>-0.5</v>
      </c>
      <c r="M31" s="554">
        <v>-1.75</v>
      </c>
      <c r="N31" s="554">
        <v>-2.75</v>
      </c>
      <c r="O31" s="554">
        <v>-6.75</v>
      </c>
      <c r="P31" s="558">
        <v>-8.875</v>
      </c>
      <c r="R31" s="846" t="s">
        <v>485</v>
      </c>
      <c r="S31" s="847"/>
      <c r="T31" s="848"/>
    </row>
    <row r="32" spans="3:20" ht="15" customHeight="1">
      <c r="C32" s="122">
        <f>margins!BJ27</f>
        <v>9.375</v>
      </c>
      <c r="D32" s="123">
        <v>105.875</v>
      </c>
      <c r="E32" s="18"/>
      <c r="F32" s="557"/>
      <c r="G32" s="556" t="s">
        <v>323</v>
      </c>
      <c r="H32" s="555">
        <v>0</v>
      </c>
      <c r="I32" s="554">
        <v>0</v>
      </c>
      <c r="J32" s="554">
        <v>-0.375</v>
      </c>
      <c r="K32" s="554">
        <v>-0.75</v>
      </c>
      <c r="L32" s="554">
        <v>-1</v>
      </c>
      <c r="M32" s="554">
        <v>-2.375</v>
      </c>
      <c r="N32" s="554">
        <v>-4</v>
      </c>
      <c r="O32" s="554">
        <v>-8.25</v>
      </c>
      <c r="P32" s="558">
        <v>-10.75</v>
      </c>
    </row>
    <row r="33" spans="2:16" ht="15" customHeight="1">
      <c r="C33" s="122">
        <f>margins!BJ28</f>
        <v>9.25</v>
      </c>
      <c r="D33" s="123">
        <v>105.5</v>
      </c>
      <c r="E33" s="18"/>
      <c r="F33" s="557"/>
      <c r="G33" s="556" t="s">
        <v>322</v>
      </c>
      <c r="H33" s="555">
        <v>-0.625</v>
      </c>
      <c r="I33" s="554">
        <v>-0.625</v>
      </c>
      <c r="J33" s="554">
        <v>-1.125</v>
      </c>
      <c r="K33" s="554">
        <v>-1.625</v>
      </c>
      <c r="L33" s="554">
        <v>-1.875</v>
      </c>
      <c r="M33" s="554">
        <v>-3</v>
      </c>
      <c r="N33" s="554">
        <v>-5.125</v>
      </c>
      <c r="O33" s="554">
        <v>-9.625</v>
      </c>
      <c r="P33" s="558">
        <v>-11.75</v>
      </c>
    </row>
    <row r="34" spans="2:16">
      <c r="C34" s="122">
        <f>margins!BJ29</f>
        <v>9.125</v>
      </c>
      <c r="D34" s="123">
        <v>105.125</v>
      </c>
      <c r="E34" s="18"/>
      <c r="F34" s="557"/>
      <c r="G34" s="556" t="s">
        <v>321</v>
      </c>
      <c r="H34" s="555">
        <v>-1.625</v>
      </c>
      <c r="I34" s="554">
        <v>-1.625</v>
      </c>
      <c r="J34" s="554">
        <v>-2.25</v>
      </c>
      <c r="K34" s="554">
        <v>-2.875</v>
      </c>
      <c r="L34" s="554">
        <v>-3.375</v>
      </c>
      <c r="M34" s="554">
        <v>-4.25</v>
      </c>
      <c r="N34" s="554">
        <v>-6.75</v>
      </c>
      <c r="O34" s="554">
        <v>-11.25</v>
      </c>
      <c r="P34" s="558" t="s">
        <v>14</v>
      </c>
    </row>
    <row r="35" spans="2:16">
      <c r="C35" s="122">
        <f>margins!BJ30</f>
        <v>9</v>
      </c>
      <c r="D35" s="123">
        <v>104.75</v>
      </c>
      <c r="E35" s="18"/>
      <c r="F35" s="557"/>
      <c r="G35" s="556" t="s">
        <v>320</v>
      </c>
      <c r="H35" s="555">
        <v>-4</v>
      </c>
      <c r="I35" s="554">
        <v>-4</v>
      </c>
      <c r="J35" s="554">
        <v>-4.75</v>
      </c>
      <c r="K35" s="554">
        <v>-5.25</v>
      </c>
      <c r="L35" s="554">
        <v>-5.875</v>
      </c>
      <c r="M35" s="554">
        <v>-7</v>
      </c>
      <c r="N35" s="554">
        <v>-9.75</v>
      </c>
      <c r="O35" s="554" t="s">
        <v>14</v>
      </c>
      <c r="P35" s="558" t="s">
        <v>14</v>
      </c>
    </row>
    <row r="36" spans="2:16">
      <c r="C36" s="122">
        <f>margins!BJ31</f>
        <v>8.875</v>
      </c>
      <c r="D36" s="123">
        <v>104.375</v>
      </c>
      <c r="E36" s="18"/>
      <c r="F36" s="553"/>
      <c r="G36" s="552" t="s">
        <v>319</v>
      </c>
      <c r="H36" s="551">
        <v>-5.75</v>
      </c>
      <c r="I36" s="550">
        <v>-5.875</v>
      </c>
      <c r="J36" s="550">
        <v>-6.375</v>
      </c>
      <c r="K36" s="550">
        <v>-7.125</v>
      </c>
      <c r="L36" s="550">
        <v>-7.625</v>
      </c>
      <c r="M36" s="550">
        <v>-9</v>
      </c>
      <c r="N36" s="550" t="s">
        <v>14</v>
      </c>
      <c r="O36" s="550" t="s">
        <v>14</v>
      </c>
      <c r="P36" s="564" t="s">
        <v>14</v>
      </c>
    </row>
    <row r="37" spans="2:16">
      <c r="C37" s="122">
        <f>margins!BJ32</f>
        <v>8.75</v>
      </c>
      <c r="D37" s="123">
        <v>104</v>
      </c>
      <c r="F37" s="563" t="s">
        <v>553</v>
      </c>
      <c r="G37" s="562" t="s">
        <v>326</v>
      </c>
      <c r="H37" s="543">
        <v>-0.5</v>
      </c>
      <c r="I37" s="533">
        <v>-0.5</v>
      </c>
      <c r="J37" s="561">
        <v>-0.75</v>
      </c>
      <c r="K37" s="561">
        <v>-1.375</v>
      </c>
      <c r="L37" s="561">
        <v>-1.625</v>
      </c>
      <c r="M37" s="561">
        <v>-2.75</v>
      </c>
      <c r="N37" s="561">
        <v>-3.75</v>
      </c>
      <c r="O37" s="561">
        <v>-7.875</v>
      </c>
      <c r="P37" s="560" t="s">
        <v>14</v>
      </c>
    </row>
    <row r="38" spans="2:16">
      <c r="C38" s="122">
        <f>margins!BJ33</f>
        <v>8.625</v>
      </c>
      <c r="D38" s="123">
        <v>103.625</v>
      </c>
      <c r="F38" s="654" t="s">
        <v>89</v>
      </c>
      <c r="G38" s="559" t="s">
        <v>325</v>
      </c>
      <c r="H38" s="541">
        <v>-0.5</v>
      </c>
      <c r="I38" s="540">
        <v>-0.5</v>
      </c>
      <c r="J38" s="554">
        <v>-0.75</v>
      </c>
      <c r="K38" s="554">
        <v>-1.375</v>
      </c>
      <c r="L38" s="554">
        <v>-1.625</v>
      </c>
      <c r="M38" s="554">
        <v>-2.875</v>
      </c>
      <c r="N38" s="554">
        <v>-4</v>
      </c>
      <c r="O38" s="554">
        <v>-8.125</v>
      </c>
      <c r="P38" s="558" t="s">
        <v>14</v>
      </c>
    </row>
    <row r="39" spans="2:16">
      <c r="C39" s="122">
        <f>margins!BJ34</f>
        <v>8.5</v>
      </c>
      <c r="D39" s="123">
        <v>103.125</v>
      </c>
      <c r="F39" s="557"/>
      <c r="G39" s="556" t="s">
        <v>324</v>
      </c>
      <c r="H39" s="555">
        <v>-1</v>
      </c>
      <c r="I39" s="554">
        <v>-1</v>
      </c>
      <c r="J39" s="554">
        <v>-1.25</v>
      </c>
      <c r="K39" s="554">
        <v>-1.875</v>
      </c>
      <c r="L39" s="554">
        <v>-2.125</v>
      </c>
      <c r="M39" s="554">
        <v>-3.5</v>
      </c>
      <c r="N39" s="554">
        <v>-4.75</v>
      </c>
      <c r="O39" s="554">
        <v>-8.75</v>
      </c>
      <c r="P39" s="558" t="s">
        <v>14</v>
      </c>
    </row>
    <row r="40" spans="2:16">
      <c r="C40" s="122">
        <f>margins!BJ35</f>
        <v>8.375</v>
      </c>
      <c r="D40" s="123">
        <v>102.625</v>
      </c>
      <c r="F40" s="557"/>
      <c r="G40" s="556" t="s">
        <v>323</v>
      </c>
      <c r="H40" s="555">
        <v>-1.375</v>
      </c>
      <c r="I40" s="554">
        <v>-1.375</v>
      </c>
      <c r="J40" s="554">
        <v>-1.75</v>
      </c>
      <c r="K40" s="554">
        <v>-2.375</v>
      </c>
      <c r="L40" s="554">
        <v>-2.625</v>
      </c>
      <c r="M40" s="554">
        <v>-4.125</v>
      </c>
      <c r="N40" s="554">
        <v>-6</v>
      </c>
      <c r="O40" s="554">
        <v>-10.25</v>
      </c>
      <c r="P40" s="558" t="s">
        <v>14</v>
      </c>
    </row>
    <row r="41" spans="2:16" ht="15" customHeight="1">
      <c r="C41" s="122">
        <f>margins!BJ36</f>
        <v>8.25</v>
      </c>
      <c r="D41" s="123">
        <v>102.125</v>
      </c>
      <c r="F41" s="557"/>
      <c r="G41" s="556" t="s">
        <v>322</v>
      </c>
      <c r="H41" s="555">
        <v>-2.125</v>
      </c>
      <c r="I41" s="554">
        <v>-2.125</v>
      </c>
      <c r="J41" s="554">
        <v>-2.625</v>
      </c>
      <c r="K41" s="554">
        <v>-3.375</v>
      </c>
      <c r="L41" s="554">
        <v>-3.625</v>
      </c>
      <c r="M41" s="554">
        <v>-4.875</v>
      </c>
      <c r="N41" s="554">
        <v>-7.25</v>
      </c>
      <c r="O41" s="554">
        <v>-11.875</v>
      </c>
      <c r="P41" s="558" t="s">
        <v>14</v>
      </c>
    </row>
    <row r="42" spans="2:16">
      <c r="C42" s="122">
        <f>margins!BJ37</f>
        <v>8.125</v>
      </c>
      <c r="D42" s="123">
        <v>101.625</v>
      </c>
      <c r="F42" s="557"/>
      <c r="G42" s="556" t="s">
        <v>321</v>
      </c>
      <c r="H42" s="555">
        <v>-3.375</v>
      </c>
      <c r="I42" s="554">
        <v>-3.375</v>
      </c>
      <c r="J42" s="554">
        <v>-4</v>
      </c>
      <c r="K42" s="554">
        <v>-4.75</v>
      </c>
      <c r="L42" s="554">
        <v>-5.25</v>
      </c>
      <c r="M42" s="554">
        <v>-6.25</v>
      </c>
      <c r="N42" s="554">
        <v>-9</v>
      </c>
      <c r="O42" s="554" t="s">
        <v>14</v>
      </c>
      <c r="P42" s="558" t="s">
        <v>14</v>
      </c>
    </row>
    <row r="43" spans="2:16">
      <c r="C43" s="122">
        <f>margins!BJ38</f>
        <v>8</v>
      </c>
      <c r="D43" s="123">
        <v>101</v>
      </c>
      <c r="F43" s="557"/>
      <c r="G43" s="556" t="s">
        <v>320</v>
      </c>
      <c r="H43" s="555">
        <v>-5.75</v>
      </c>
      <c r="I43" s="554">
        <v>-5.75</v>
      </c>
      <c r="J43" s="554">
        <v>-6.5</v>
      </c>
      <c r="K43" s="554">
        <v>-7.125</v>
      </c>
      <c r="L43" s="554">
        <v>-7.75</v>
      </c>
      <c r="M43" s="554">
        <v>-9</v>
      </c>
      <c r="N43" s="554" t="s">
        <v>14</v>
      </c>
      <c r="O43" s="554" t="s">
        <v>14</v>
      </c>
      <c r="P43" s="558" t="s">
        <v>14</v>
      </c>
    </row>
    <row r="44" spans="2:16" ht="15" customHeight="1">
      <c r="C44" s="122">
        <f>margins!BJ39</f>
        <v>7.875</v>
      </c>
      <c r="D44" s="123">
        <v>100.375</v>
      </c>
      <c r="F44" s="553"/>
      <c r="G44" s="552" t="s">
        <v>319</v>
      </c>
      <c r="H44" s="551">
        <v>-7.75</v>
      </c>
      <c r="I44" s="550">
        <v>-7.875</v>
      </c>
      <c r="J44" s="550">
        <v>-8.375</v>
      </c>
      <c r="K44" s="550">
        <v>-9.375</v>
      </c>
      <c r="L44" s="550">
        <v>-9.875</v>
      </c>
      <c r="M44" s="550" t="s">
        <v>14</v>
      </c>
      <c r="N44" s="550" t="s">
        <v>14</v>
      </c>
      <c r="O44" s="550" t="s">
        <v>14</v>
      </c>
      <c r="P44" s="564" t="s">
        <v>14</v>
      </c>
    </row>
    <row r="45" spans="2:16">
      <c r="B45" s="22"/>
      <c r="C45" s="122">
        <f>margins!BJ40</f>
        <v>7.75</v>
      </c>
      <c r="D45" s="123">
        <v>99.75</v>
      </c>
      <c r="F45" s="549" t="s">
        <v>318</v>
      </c>
      <c r="G45" s="539" t="s">
        <v>317</v>
      </c>
      <c r="H45" s="548">
        <v>0</v>
      </c>
      <c r="I45" s="547">
        <v>0</v>
      </c>
      <c r="J45" s="547">
        <v>0</v>
      </c>
      <c r="K45" s="547">
        <v>0</v>
      </c>
      <c r="L45" s="547">
        <v>0</v>
      </c>
      <c r="M45" s="547">
        <v>0</v>
      </c>
      <c r="N45" s="547">
        <v>0</v>
      </c>
      <c r="O45" s="547">
        <v>0</v>
      </c>
      <c r="P45" s="698">
        <v>0</v>
      </c>
    </row>
    <row r="46" spans="2:16" ht="15" customHeight="1">
      <c r="C46" s="122">
        <f>margins!BJ41</f>
        <v>7.625</v>
      </c>
      <c r="D46" s="123">
        <v>99</v>
      </c>
      <c r="F46" s="544"/>
      <c r="G46" s="542" t="s">
        <v>316</v>
      </c>
      <c r="H46" s="546">
        <v>0</v>
      </c>
      <c r="I46" s="545">
        <v>0</v>
      </c>
      <c r="J46" s="545">
        <v>0</v>
      </c>
      <c r="K46" s="545">
        <v>0</v>
      </c>
      <c r="L46" s="545">
        <v>0</v>
      </c>
      <c r="M46" s="545">
        <v>0</v>
      </c>
      <c r="N46" s="545">
        <v>0</v>
      </c>
      <c r="O46" s="545">
        <v>0</v>
      </c>
      <c r="P46" s="699">
        <v>0</v>
      </c>
    </row>
    <row r="47" spans="2:16">
      <c r="C47" s="122">
        <f>margins!BJ42</f>
        <v>7.5</v>
      </c>
      <c r="D47" s="123">
        <v>98.25</v>
      </c>
      <c r="F47" s="544"/>
      <c r="G47" s="694" t="s">
        <v>315</v>
      </c>
      <c r="H47" s="695">
        <v>0</v>
      </c>
      <c r="I47" s="696">
        <v>0</v>
      </c>
      <c r="J47" s="696">
        <v>0</v>
      </c>
      <c r="K47" s="696">
        <v>0</v>
      </c>
      <c r="L47" s="696">
        <v>0</v>
      </c>
      <c r="M47" s="696">
        <v>0</v>
      </c>
      <c r="N47" s="696">
        <v>0</v>
      </c>
      <c r="O47" s="696">
        <v>0</v>
      </c>
      <c r="P47" s="700">
        <v>0</v>
      </c>
    </row>
    <row r="48" spans="2:16">
      <c r="C48" s="122">
        <f>margins!BJ43</f>
        <v>7.375</v>
      </c>
      <c r="D48" s="123">
        <v>97.5</v>
      </c>
      <c r="F48" s="521" t="s">
        <v>210</v>
      </c>
      <c r="G48" s="620" t="s">
        <v>314</v>
      </c>
      <c r="H48" s="543">
        <v>0.5</v>
      </c>
      <c r="I48" s="533">
        <v>0.5</v>
      </c>
      <c r="J48" s="533">
        <v>0.5</v>
      </c>
      <c r="K48" s="533">
        <v>0.5</v>
      </c>
      <c r="L48" s="533">
        <v>0.5</v>
      </c>
      <c r="M48" s="533">
        <v>0.5</v>
      </c>
      <c r="N48" s="533">
        <v>0.5</v>
      </c>
      <c r="O48" s="533">
        <v>0.5</v>
      </c>
      <c r="P48" s="701">
        <v>0.5</v>
      </c>
    </row>
    <row r="49" spans="3:16">
      <c r="C49" s="37"/>
      <c r="D49" s="37"/>
      <c r="F49" s="516"/>
      <c r="G49" s="542" t="s">
        <v>313</v>
      </c>
      <c r="H49" s="541">
        <v>0.5</v>
      </c>
      <c r="I49" s="540">
        <v>0.5</v>
      </c>
      <c r="J49" s="540">
        <v>0.5</v>
      </c>
      <c r="K49" s="540">
        <v>0.5</v>
      </c>
      <c r="L49" s="540">
        <v>0.5</v>
      </c>
      <c r="M49" s="540">
        <v>0.5</v>
      </c>
      <c r="N49" s="540">
        <v>0.5</v>
      </c>
      <c r="O49" s="540">
        <v>0.5</v>
      </c>
      <c r="P49" s="702">
        <v>0.5</v>
      </c>
    </row>
    <row r="50" spans="3:16">
      <c r="C50" s="37"/>
      <c r="D50" s="37"/>
      <c r="F50" s="516"/>
      <c r="G50" s="542" t="s">
        <v>312</v>
      </c>
      <c r="H50" s="541">
        <v>0.5</v>
      </c>
      <c r="I50" s="540">
        <v>0.5</v>
      </c>
      <c r="J50" s="540">
        <v>0.5</v>
      </c>
      <c r="K50" s="540">
        <v>0.5</v>
      </c>
      <c r="L50" s="540">
        <v>0.5</v>
      </c>
      <c r="M50" s="540">
        <v>0.5</v>
      </c>
      <c r="N50" s="540">
        <v>0.5</v>
      </c>
      <c r="O50" s="540">
        <v>0.5</v>
      </c>
      <c r="P50" s="702">
        <v>0.5</v>
      </c>
    </row>
    <row r="51" spans="3:16">
      <c r="C51" s="37"/>
      <c r="D51" s="37"/>
      <c r="F51" s="516"/>
      <c r="G51" s="602" t="s">
        <v>311</v>
      </c>
      <c r="H51" s="697">
        <v>0</v>
      </c>
      <c r="I51" s="522">
        <v>0</v>
      </c>
      <c r="J51" s="522">
        <v>0</v>
      </c>
      <c r="K51" s="522">
        <v>0</v>
      </c>
      <c r="L51" s="522">
        <v>0</v>
      </c>
      <c r="M51" s="522">
        <v>0</v>
      </c>
      <c r="N51" s="522">
        <v>0</v>
      </c>
      <c r="O51" s="522">
        <v>0</v>
      </c>
      <c r="P51" s="703">
        <v>0</v>
      </c>
    </row>
    <row r="52" spans="3:16">
      <c r="C52" s="37"/>
      <c r="D52" s="37"/>
      <c r="F52" s="521" t="s">
        <v>310</v>
      </c>
      <c r="G52" s="539" t="s">
        <v>459</v>
      </c>
      <c r="H52" s="519">
        <v>-0.25</v>
      </c>
      <c r="I52" s="518">
        <v>-0.25</v>
      </c>
      <c r="J52" s="518">
        <v>-0.25</v>
      </c>
      <c r="K52" s="518">
        <v>-0.25</v>
      </c>
      <c r="L52" s="518">
        <v>-0.25</v>
      </c>
      <c r="M52" s="518">
        <v>-0.25</v>
      </c>
      <c r="N52" s="518">
        <v>-0.25</v>
      </c>
      <c r="O52" s="518">
        <v>-0.25</v>
      </c>
      <c r="P52" s="704">
        <v>-0.25</v>
      </c>
    </row>
    <row r="53" spans="3:16">
      <c r="C53" s="37"/>
      <c r="D53" s="37"/>
      <c r="F53" s="516"/>
      <c r="G53" s="539" t="s">
        <v>309</v>
      </c>
      <c r="H53" s="514">
        <v>0</v>
      </c>
      <c r="I53" s="513">
        <v>0</v>
      </c>
      <c r="J53" s="513">
        <v>0</v>
      </c>
      <c r="K53" s="513">
        <v>0</v>
      </c>
      <c r="L53" s="513">
        <v>0</v>
      </c>
      <c r="M53" s="513">
        <v>0</v>
      </c>
      <c r="N53" s="513">
        <v>0</v>
      </c>
      <c r="O53" s="513">
        <v>0</v>
      </c>
      <c r="P53" s="512">
        <v>0</v>
      </c>
    </row>
    <row r="54" spans="3:16">
      <c r="C54" s="37"/>
      <c r="D54" s="37"/>
      <c r="F54" s="516"/>
      <c r="G54" s="539" t="s">
        <v>308</v>
      </c>
      <c r="H54" s="514">
        <v>0</v>
      </c>
      <c r="I54" s="513">
        <v>0</v>
      </c>
      <c r="J54" s="513">
        <v>0</v>
      </c>
      <c r="K54" s="513">
        <v>0</v>
      </c>
      <c r="L54" s="513">
        <v>0</v>
      </c>
      <c r="M54" s="513">
        <v>0</v>
      </c>
      <c r="N54" s="513">
        <v>0</v>
      </c>
      <c r="O54" s="513">
        <v>0</v>
      </c>
      <c r="P54" s="512">
        <v>0</v>
      </c>
    </row>
    <row r="55" spans="3:16">
      <c r="F55" s="516"/>
      <c r="G55" s="538" t="s">
        <v>307</v>
      </c>
      <c r="H55" s="514">
        <v>0</v>
      </c>
      <c r="I55" s="513">
        <v>0</v>
      </c>
      <c r="J55" s="513">
        <v>0</v>
      </c>
      <c r="K55" s="513">
        <v>0</v>
      </c>
      <c r="L55" s="513">
        <v>0</v>
      </c>
      <c r="M55" s="513">
        <v>0</v>
      </c>
      <c r="N55" s="513">
        <v>0</v>
      </c>
      <c r="O55" s="513">
        <v>0</v>
      </c>
      <c r="P55" s="512">
        <v>0</v>
      </c>
    </row>
    <row r="56" spans="3:16">
      <c r="F56" s="516"/>
      <c r="G56" s="538" t="s">
        <v>306</v>
      </c>
      <c r="H56" s="514">
        <v>0</v>
      </c>
      <c r="I56" s="513">
        <v>0</v>
      </c>
      <c r="J56" s="513">
        <v>0</v>
      </c>
      <c r="K56" s="513">
        <v>0</v>
      </c>
      <c r="L56" s="513">
        <v>0</v>
      </c>
      <c r="M56" s="513">
        <v>0</v>
      </c>
      <c r="N56" s="513">
        <v>0</v>
      </c>
      <c r="O56" s="513">
        <v>0</v>
      </c>
      <c r="P56" s="512">
        <v>0</v>
      </c>
    </row>
    <row r="57" spans="3:16">
      <c r="F57" s="516"/>
      <c r="G57" s="537" t="s">
        <v>305</v>
      </c>
      <c r="H57" s="514">
        <v>0</v>
      </c>
      <c r="I57" s="513">
        <v>0</v>
      </c>
      <c r="J57" s="513">
        <v>0</v>
      </c>
      <c r="K57" s="513">
        <v>0</v>
      </c>
      <c r="L57" s="513">
        <v>0</v>
      </c>
      <c r="M57" s="513">
        <v>0</v>
      </c>
      <c r="N57" s="513">
        <v>0</v>
      </c>
      <c r="O57" s="513">
        <v>0</v>
      </c>
      <c r="P57" s="512">
        <v>0</v>
      </c>
    </row>
    <row r="58" spans="3:16">
      <c r="F58" s="516"/>
      <c r="G58" s="537" t="s">
        <v>304</v>
      </c>
      <c r="H58" s="514">
        <v>0</v>
      </c>
      <c r="I58" s="513">
        <v>0</v>
      </c>
      <c r="J58" s="513">
        <v>0</v>
      </c>
      <c r="K58" s="513">
        <v>0</v>
      </c>
      <c r="L58" s="513">
        <v>0</v>
      </c>
      <c r="M58" s="513">
        <v>0</v>
      </c>
      <c r="N58" s="513">
        <v>0</v>
      </c>
      <c r="O58" s="513">
        <v>0</v>
      </c>
      <c r="P58" s="512">
        <v>0</v>
      </c>
    </row>
    <row r="59" spans="3:16">
      <c r="F59" s="516"/>
      <c r="G59" s="537" t="s">
        <v>554</v>
      </c>
      <c r="H59" s="514">
        <v>0</v>
      </c>
      <c r="I59" s="513">
        <v>0</v>
      </c>
      <c r="J59" s="513">
        <v>0</v>
      </c>
      <c r="K59" s="513">
        <v>0</v>
      </c>
      <c r="L59" s="513">
        <v>0</v>
      </c>
      <c r="M59" s="513">
        <v>0</v>
      </c>
      <c r="N59" s="513">
        <v>0</v>
      </c>
      <c r="O59" s="513">
        <v>0</v>
      </c>
      <c r="P59" s="512">
        <v>0</v>
      </c>
    </row>
    <row r="60" spans="3:16">
      <c r="F60" s="516"/>
      <c r="G60" s="537" t="s">
        <v>721</v>
      </c>
      <c r="H60" s="536">
        <v>0</v>
      </c>
      <c r="I60" s="535">
        <v>0</v>
      </c>
      <c r="J60" s="535">
        <v>0</v>
      </c>
      <c r="K60" s="535">
        <v>0</v>
      </c>
      <c r="L60" s="535">
        <v>0</v>
      </c>
      <c r="M60" s="535">
        <v>0</v>
      </c>
      <c r="N60" s="513">
        <v>0</v>
      </c>
      <c r="O60" s="535">
        <v>0</v>
      </c>
      <c r="P60" s="604">
        <v>0</v>
      </c>
    </row>
    <row r="61" spans="3:16">
      <c r="F61" s="528" t="s">
        <v>45</v>
      </c>
      <c r="G61" s="534" t="s">
        <v>303</v>
      </c>
      <c r="H61" s="526">
        <v>-0.25</v>
      </c>
      <c r="I61" s="525">
        <v>-0.25</v>
      </c>
      <c r="J61" s="525">
        <v>-0.25</v>
      </c>
      <c r="K61" s="525">
        <v>-0.375</v>
      </c>
      <c r="L61" s="533">
        <v>-0.375</v>
      </c>
      <c r="M61" s="533">
        <v>-0.375</v>
      </c>
      <c r="N61" s="533">
        <v>-0.5</v>
      </c>
      <c r="O61" s="533">
        <v>-0.75</v>
      </c>
      <c r="P61" s="701">
        <v>-0.75</v>
      </c>
    </row>
    <row r="62" spans="3:16">
      <c r="F62" s="524"/>
      <c r="G62" s="532" t="s">
        <v>302</v>
      </c>
      <c r="H62" s="510">
        <v>-0.75</v>
      </c>
      <c r="I62" s="509">
        <v>-0.75</v>
      </c>
      <c r="J62" s="509">
        <v>-0.75</v>
      </c>
      <c r="K62" s="509">
        <v>-0.75</v>
      </c>
      <c r="L62" s="522">
        <v>-0.75</v>
      </c>
      <c r="M62" s="522">
        <v>-0.75</v>
      </c>
      <c r="N62" s="522">
        <v>-1</v>
      </c>
      <c r="O62" s="522">
        <v>-1.25</v>
      </c>
      <c r="P62" s="703">
        <v>-1.25</v>
      </c>
    </row>
    <row r="63" spans="3:16">
      <c r="F63" s="528" t="s">
        <v>56</v>
      </c>
      <c r="G63" s="531" t="s">
        <v>57</v>
      </c>
      <c r="H63" s="526">
        <v>0</v>
      </c>
      <c r="I63" s="525">
        <v>0</v>
      </c>
      <c r="J63" s="525">
        <v>0</v>
      </c>
      <c r="K63" s="525">
        <v>0</v>
      </c>
      <c r="L63" s="525">
        <v>0</v>
      </c>
      <c r="M63" s="525">
        <v>0</v>
      </c>
      <c r="N63" s="525">
        <v>0</v>
      </c>
      <c r="O63" s="525">
        <v>0</v>
      </c>
      <c r="P63" s="705">
        <v>0</v>
      </c>
    </row>
    <row r="64" spans="3:16">
      <c r="F64" s="530"/>
      <c r="G64" s="517" t="s">
        <v>301</v>
      </c>
      <c r="H64" s="514">
        <v>0</v>
      </c>
      <c r="I64" s="513">
        <v>0</v>
      </c>
      <c r="J64" s="513">
        <v>0</v>
      </c>
      <c r="K64" s="513">
        <v>0</v>
      </c>
      <c r="L64" s="513">
        <v>0</v>
      </c>
      <c r="M64" s="513">
        <v>0</v>
      </c>
      <c r="N64" s="513">
        <v>0</v>
      </c>
      <c r="O64" s="513">
        <v>0</v>
      </c>
      <c r="P64" s="512">
        <v>0</v>
      </c>
    </row>
    <row r="65" spans="6:16">
      <c r="F65" s="524"/>
      <c r="G65" s="529" t="s">
        <v>300</v>
      </c>
      <c r="H65" s="510">
        <v>0</v>
      </c>
      <c r="I65" s="509">
        <v>0</v>
      </c>
      <c r="J65" s="509">
        <v>0</v>
      </c>
      <c r="K65" s="509">
        <v>0</v>
      </c>
      <c r="L65" s="509">
        <v>0</v>
      </c>
      <c r="M65" s="509">
        <v>0</v>
      </c>
      <c r="N65" s="509">
        <v>0</v>
      </c>
      <c r="O65" s="509">
        <v>0</v>
      </c>
      <c r="P65" s="508">
        <v>0</v>
      </c>
    </row>
    <row r="66" spans="6:16">
      <c r="F66" s="528" t="s">
        <v>60</v>
      </c>
      <c r="G66" s="527" t="s">
        <v>299</v>
      </c>
      <c r="H66" s="526">
        <v>0</v>
      </c>
      <c r="I66" s="525">
        <v>0</v>
      </c>
      <c r="J66" s="525">
        <v>0</v>
      </c>
      <c r="K66" s="525">
        <v>0</v>
      </c>
      <c r="L66" s="525">
        <v>0</v>
      </c>
      <c r="M66" s="525">
        <v>0</v>
      </c>
      <c r="N66" s="525">
        <v>0</v>
      </c>
      <c r="O66" s="525">
        <v>0</v>
      </c>
      <c r="P66" s="705">
        <v>0</v>
      </c>
    </row>
    <row r="67" spans="6:16">
      <c r="F67" s="524"/>
      <c r="G67" s="523" t="s">
        <v>298</v>
      </c>
      <c r="H67" s="510">
        <v>-0.5</v>
      </c>
      <c r="I67" s="509">
        <v>-0.5</v>
      </c>
      <c r="J67" s="509">
        <v>-0.5</v>
      </c>
      <c r="K67" s="509">
        <v>-0.5</v>
      </c>
      <c r="L67" s="522">
        <v>-0.625</v>
      </c>
      <c r="M67" s="522">
        <v>-0.75</v>
      </c>
      <c r="N67" s="509">
        <v>-0.75</v>
      </c>
      <c r="O67" s="509" t="s">
        <v>14</v>
      </c>
      <c r="P67" s="508" t="s">
        <v>14</v>
      </c>
    </row>
    <row r="68" spans="6:16">
      <c r="F68" s="521" t="s">
        <v>62</v>
      </c>
      <c r="G68" s="520" t="s">
        <v>297</v>
      </c>
      <c r="H68" s="519">
        <v>0</v>
      </c>
      <c r="I68" s="518">
        <v>0</v>
      </c>
      <c r="J68" s="518">
        <v>0</v>
      </c>
      <c r="K68" s="518">
        <v>0</v>
      </c>
      <c r="L68" s="518">
        <v>0</v>
      </c>
      <c r="M68" s="518">
        <v>0</v>
      </c>
      <c r="N68" s="518">
        <v>0</v>
      </c>
      <c r="O68" s="518">
        <v>0</v>
      </c>
      <c r="P68" s="704">
        <v>0</v>
      </c>
    </row>
    <row r="69" spans="6:16">
      <c r="F69" s="516"/>
      <c r="G69" s="515" t="s">
        <v>296</v>
      </c>
      <c r="H69" s="514">
        <v>0</v>
      </c>
      <c r="I69" s="513">
        <v>0</v>
      </c>
      <c r="J69" s="513">
        <v>0</v>
      </c>
      <c r="K69" s="513">
        <v>0</v>
      </c>
      <c r="L69" s="513">
        <v>0</v>
      </c>
      <c r="M69" s="513">
        <v>0</v>
      </c>
      <c r="N69" s="513">
        <v>0</v>
      </c>
      <c r="O69" s="513">
        <v>0</v>
      </c>
      <c r="P69" s="512">
        <v>0</v>
      </c>
    </row>
    <row r="70" spans="6:16">
      <c r="F70" s="516"/>
      <c r="G70" s="517" t="s">
        <v>295</v>
      </c>
      <c r="H70" s="514">
        <v>0</v>
      </c>
      <c r="I70" s="513">
        <v>0</v>
      </c>
      <c r="J70" s="513">
        <v>0</v>
      </c>
      <c r="K70" s="513">
        <v>0</v>
      </c>
      <c r="L70" s="513">
        <v>0</v>
      </c>
      <c r="M70" s="513">
        <v>0</v>
      </c>
      <c r="N70" s="513">
        <v>0</v>
      </c>
      <c r="O70" s="513">
        <v>0</v>
      </c>
      <c r="P70" s="512">
        <v>0</v>
      </c>
    </row>
    <row r="71" spans="6:16">
      <c r="F71" s="516"/>
      <c r="G71" s="515" t="s">
        <v>294</v>
      </c>
      <c r="H71" s="514">
        <v>0</v>
      </c>
      <c r="I71" s="513">
        <v>0</v>
      </c>
      <c r="J71" s="513">
        <v>0</v>
      </c>
      <c r="K71" s="513">
        <v>0</v>
      </c>
      <c r="L71" s="513">
        <v>0</v>
      </c>
      <c r="M71" s="513">
        <v>0</v>
      </c>
      <c r="N71" s="513">
        <v>0</v>
      </c>
      <c r="O71" s="513">
        <v>0</v>
      </c>
      <c r="P71" s="512">
        <v>0</v>
      </c>
    </row>
    <row r="72" spans="6:16">
      <c r="F72" s="516"/>
      <c r="G72" s="515" t="s">
        <v>293</v>
      </c>
      <c r="H72" s="514">
        <v>0</v>
      </c>
      <c r="I72" s="513">
        <v>0</v>
      </c>
      <c r="J72" s="513">
        <v>0</v>
      </c>
      <c r="K72" s="513">
        <v>0</v>
      </c>
      <c r="L72" s="513">
        <v>0</v>
      </c>
      <c r="M72" s="513">
        <v>0</v>
      </c>
      <c r="N72" s="513">
        <v>0</v>
      </c>
      <c r="O72" s="513">
        <v>0</v>
      </c>
      <c r="P72" s="512">
        <v>0</v>
      </c>
    </row>
    <row r="73" spans="6:16">
      <c r="F73" s="516"/>
      <c r="G73" s="517" t="s">
        <v>292</v>
      </c>
      <c r="H73" s="514">
        <v>0</v>
      </c>
      <c r="I73" s="513">
        <v>0</v>
      </c>
      <c r="J73" s="513">
        <v>0</v>
      </c>
      <c r="K73" s="513">
        <v>0</v>
      </c>
      <c r="L73" s="513">
        <v>0</v>
      </c>
      <c r="M73" s="513">
        <v>0</v>
      </c>
      <c r="N73" s="513">
        <v>0</v>
      </c>
      <c r="O73" s="513">
        <v>0</v>
      </c>
      <c r="P73" s="512">
        <v>0</v>
      </c>
    </row>
    <row r="74" spans="6:16">
      <c r="F74" s="516"/>
      <c r="G74" s="515" t="s">
        <v>291</v>
      </c>
      <c r="H74" s="514">
        <v>-0.25</v>
      </c>
      <c r="I74" s="513">
        <v>-0.25</v>
      </c>
      <c r="J74" s="513">
        <v>-0.25</v>
      </c>
      <c r="K74" s="513">
        <v>-0.375</v>
      </c>
      <c r="L74" s="513">
        <v>-0.375</v>
      </c>
      <c r="M74" s="513">
        <v>-0.5</v>
      </c>
      <c r="N74" s="513" t="s">
        <v>14</v>
      </c>
      <c r="O74" s="513" t="s">
        <v>14</v>
      </c>
      <c r="P74" s="512" t="s">
        <v>14</v>
      </c>
    </row>
    <row r="75" spans="6:16">
      <c r="F75" s="516"/>
      <c r="G75" s="515" t="s">
        <v>290</v>
      </c>
      <c r="H75" s="514">
        <v>-2</v>
      </c>
      <c r="I75" s="513">
        <v>-2</v>
      </c>
      <c r="J75" s="513">
        <v>-2</v>
      </c>
      <c r="K75" s="513">
        <v>-2</v>
      </c>
      <c r="L75" s="513">
        <v>-2</v>
      </c>
      <c r="M75" s="513">
        <v>-2</v>
      </c>
      <c r="N75" s="513">
        <v>-2</v>
      </c>
      <c r="O75" s="513">
        <v>-2</v>
      </c>
      <c r="P75" s="512">
        <v>-2</v>
      </c>
    </row>
    <row r="76" spans="6:16">
      <c r="F76" s="511"/>
      <c r="G76" s="710" t="s">
        <v>381</v>
      </c>
      <c r="H76" s="510">
        <v>-0.5</v>
      </c>
      <c r="I76" s="509">
        <v>-0.5</v>
      </c>
      <c r="J76" s="509">
        <v>-0.5</v>
      </c>
      <c r="K76" s="509">
        <v>-0.5</v>
      </c>
      <c r="L76" s="509">
        <v>-0.5</v>
      </c>
      <c r="M76" s="509">
        <v>-0.5</v>
      </c>
      <c r="N76" s="509" t="s">
        <v>14</v>
      </c>
      <c r="O76" s="509" t="s">
        <v>14</v>
      </c>
      <c r="P76" s="508" t="s">
        <v>14</v>
      </c>
    </row>
  </sheetData>
  <mergeCells count="4">
    <mergeCell ref="C6:D6"/>
    <mergeCell ref="F19:G19"/>
    <mergeCell ref="I12:M12"/>
    <mergeCell ref="H19:P19"/>
  </mergeCells>
  <conditionalFormatting sqref="G21">
    <cfRule type="cellIs" dxfId="102" priority="183" operator="between">
      <formula>101</formula>
      <formula>101.5</formula>
    </cfRule>
  </conditionalFormatting>
  <conditionalFormatting sqref="G29">
    <cfRule type="cellIs" dxfId="101" priority="182" operator="between">
      <formula>101</formula>
      <formula>101.5</formula>
    </cfRule>
  </conditionalFormatting>
  <conditionalFormatting sqref="G37">
    <cfRule type="cellIs" dxfId="100" priority="120" operator="between">
      <formula>101</formula>
      <formula>101.5</formula>
    </cfRule>
  </conditionalFormatting>
  <conditionalFormatting sqref="H23:H28">
    <cfRule type="cellIs" dxfId="99" priority="49" operator="between">
      <formula>101</formula>
      <formula>101.5</formula>
    </cfRule>
  </conditionalFormatting>
  <conditionalFormatting sqref="H31:H36">
    <cfRule type="cellIs" dxfId="98" priority="60" operator="between">
      <formula>101</formula>
      <formula>101.5</formula>
    </cfRule>
  </conditionalFormatting>
  <conditionalFormatting sqref="H39:H44">
    <cfRule type="cellIs" dxfId="97" priority="42" operator="between">
      <formula>101</formula>
      <formula>101.5</formula>
    </cfRule>
  </conditionalFormatting>
  <conditionalFormatting sqref="H26:N28">
    <cfRule type="cellIs" dxfId="96" priority="51" operator="between">
      <formula>101</formula>
      <formula>101.5</formula>
    </cfRule>
  </conditionalFormatting>
  <conditionalFormatting sqref="H34:N36">
    <cfRule type="cellIs" dxfId="95" priority="7" operator="between">
      <formula>101</formula>
      <formula>101.5</formula>
    </cfRule>
  </conditionalFormatting>
  <conditionalFormatting sqref="H42:N44">
    <cfRule type="cellIs" dxfId="94" priority="1" operator="between">
      <formula>101</formula>
      <formula>101.5</formula>
    </cfRule>
  </conditionalFormatting>
  <conditionalFormatting sqref="J21:L22 M21:N25 H23:L25">
    <cfRule type="cellIs" dxfId="93" priority="52" operator="between">
      <formula>101</formula>
      <formula>101.5</formula>
    </cfRule>
  </conditionalFormatting>
  <conditionalFormatting sqref="J29:L30 M29:N33 H31:L33">
    <cfRule type="cellIs" dxfId="92" priority="63" operator="between">
      <formula>101</formula>
      <formula>101.5</formula>
    </cfRule>
  </conditionalFormatting>
  <conditionalFormatting sqref="J37:L38 M37:N41 H39:L41">
    <cfRule type="cellIs" dxfId="91" priority="45" operator="between">
      <formula>101</formula>
      <formula>101.5</formula>
    </cfRule>
  </conditionalFormatting>
  <conditionalFormatting sqref="L25">
    <cfRule type="cellIs" dxfId="90" priority="48" operator="between">
      <formula>101</formula>
      <formula>101.5</formula>
    </cfRule>
  </conditionalFormatting>
  <conditionalFormatting sqref="L33">
    <cfRule type="cellIs" dxfId="89" priority="59" operator="between">
      <formula>101</formula>
      <formula>101.5</formula>
    </cfRule>
  </conditionalFormatting>
  <conditionalFormatting sqref="L41">
    <cfRule type="cellIs" dxfId="88" priority="41" operator="between">
      <formula>101</formula>
      <formula>101.5</formula>
    </cfRule>
  </conditionalFormatting>
  <conditionalFormatting sqref="N25">
    <cfRule type="cellIs" dxfId="87" priority="6" operator="between">
      <formula>101</formula>
      <formula>101.5</formula>
    </cfRule>
  </conditionalFormatting>
  <conditionalFormatting sqref="N33">
    <cfRule type="cellIs" dxfId="86" priority="11" operator="between">
      <formula>101</formula>
      <formula>101.5</formula>
    </cfRule>
  </conditionalFormatting>
  <conditionalFormatting sqref="N41">
    <cfRule type="cellIs" dxfId="85" priority="5" operator="between">
      <formula>101</formula>
      <formula>101.5</formula>
    </cfRule>
  </conditionalFormatting>
  <conditionalFormatting sqref="O21:O24">
    <cfRule type="cellIs" dxfId="84" priority="28" operator="between">
      <formula>101</formula>
      <formula>101.5</formula>
    </cfRule>
  </conditionalFormatting>
  <conditionalFormatting sqref="O28:O44">
    <cfRule type="cellIs" dxfId="83" priority="16" operator="between">
      <formula>101</formula>
      <formula>101.5</formula>
    </cfRule>
  </conditionalFormatting>
  <conditionalFormatting sqref="O21:P27">
    <cfRule type="cellIs" dxfId="82" priority="29" operator="between">
      <formula>101</formula>
      <formula>101.5</formula>
    </cfRule>
  </conditionalFormatting>
  <conditionalFormatting sqref="P21:P44">
    <cfRule type="cellIs" dxfId="81" priority="12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C50CFD3-E8A4-43AE-A82A-44B040AEEF3A}">
          <x14:formula1>
            <xm:f>margins!$AC$110:$AC$111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margins!$AC$113:$AC$115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margins!$AC$116:$AC$119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margins!$AC$122:$AC$131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margins!$N$165:$N$167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margins!$AC$133:$AC$135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margins!$AC$137:$AC$140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margins!$AC$142:$AC$144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margins!$AC$146:$AC$155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margins!$AC$160:$AC$162</xm:f>
          </x14:formula1>
          <xm:sqref>S20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9.85546875" style="1057" customWidth="1"/>
    <col min="3" max="3" width="20.5703125" style="1057" customWidth="1"/>
    <col min="4" max="4" width="13.7109375" style="1057" customWidth="1"/>
    <col min="5" max="5" width="17.140625" style="1057" customWidth="1"/>
    <col min="6" max="6" width="16.85546875" style="1057" customWidth="1"/>
    <col min="7" max="7" width="16.42578125" style="1057" customWidth="1"/>
    <col min="8" max="8" width="14.7109375" style="1057" customWidth="1"/>
    <col min="9" max="9" width="10.7109375" style="1057" bestFit="1" customWidth="1"/>
    <col min="10" max="10" width="17.710937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9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6">
        <f ca="1">NOW()</f>
        <v>45978.399704166666</v>
      </c>
      <c r="L2" s="1756"/>
      <c r="M2" s="1478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5" t="s">
        <v>648</v>
      </c>
      <c r="L3" s="1755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2"/>
      <c r="L4" s="1462"/>
      <c r="M4" s="1470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7"/>
      <c r="L5" s="1462" t="s">
        <v>183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70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70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1"/>
    </row>
    <row r="10" spans="1:17" s="1057" customFormat="1" ht="14.25" customHeight="1">
      <c r="A10" s="1757" t="s">
        <v>397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9"/>
      <c r="O10" s="1717" t="s">
        <v>380</v>
      </c>
      <c r="P10" s="1718"/>
      <c r="Q10" s="1718"/>
    </row>
    <row r="11" spans="1:17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2"/>
      <c r="O11" s="1"/>
      <c r="P11" s="1"/>
      <c r="Q11" s="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30" t="s">
        <v>335</v>
      </c>
      <c r="D13"/>
      <c r="E13" s="1202" t="s">
        <v>2</v>
      </c>
      <c r="F13" s="1201"/>
      <c r="H13" s="1920" t="s">
        <v>334</v>
      </c>
      <c r="I13" s="1921"/>
      <c r="J13" s="1922"/>
      <c r="M13" s="1061"/>
      <c r="O13" s="1"/>
      <c r="P13" s="1"/>
      <c r="Q13" s="1"/>
    </row>
    <row r="14" spans="1:17" s="1057" customFormat="1" ht="15.75" thickBot="1">
      <c r="A14" s="1250"/>
      <c r="B14" s="1502">
        <f>margins!BJ3</f>
        <v>12.375</v>
      </c>
      <c r="C14" s="1503">
        <v>110.75</v>
      </c>
      <c r="D14"/>
      <c r="E14" s="1233" t="s">
        <v>6</v>
      </c>
      <c r="F14" s="1296">
        <v>100</v>
      </c>
      <c r="H14" s="1931" t="s">
        <v>748</v>
      </c>
      <c r="I14" s="1932"/>
      <c r="J14" s="1933"/>
      <c r="M14" s="1061"/>
      <c r="O14" s="1"/>
      <c r="P14" s="1"/>
      <c r="Q14" s="1"/>
    </row>
    <row r="15" spans="1:17" s="1057" customFormat="1" ht="15.75" thickBot="1">
      <c r="A15" s="1250"/>
      <c r="B15" s="1480">
        <f>margins!BJ4</f>
        <v>12.25</v>
      </c>
      <c r="C15" s="1503">
        <v>110.625</v>
      </c>
      <c r="D15"/>
      <c r="E15" s="1233" t="s">
        <v>8</v>
      </c>
      <c r="F15" s="1255">
        <v>0</v>
      </c>
      <c r="H15" s="1917" t="s">
        <v>749</v>
      </c>
      <c r="I15" s="1918"/>
      <c r="J15" s="1919"/>
      <c r="M15" s="1061"/>
      <c r="O15" s="658" t="s">
        <v>211</v>
      </c>
      <c r="P15" s="484">
        <v>10</v>
      </c>
      <c r="Q15" s="709">
        <f>VLOOKUP(P15,$B$14:$C$54,2,FALSE)</f>
        <v>107.625</v>
      </c>
    </row>
    <row r="16" spans="1:17" s="1057" customFormat="1" ht="15.75" thickBot="1">
      <c r="A16" s="1250"/>
      <c r="B16" s="1480">
        <f>margins!BJ5</f>
        <v>12.125</v>
      </c>
      <c r="C16" s="1503">
        <v>110.5</v>
      </c>
      <c r="D16"/>
      <c r="E16" s="1222" t="s">
        <v>10</v>
      </c>
      <c r="F16" s="1493">
        <v>-0.375</v>
      </c>
      <c r="H16" s="1917"/>
      <c r="I16" s="1918"/>
      <c r="J16" s="1919"/>
      <c r="M16" s="1061"/>
      <c r="O16" s="660" t="s">
        <v>386</v>
      </c>
      <c r="P16" s="485" t="s">
        <v>20</v>
      </c>
      <c r="Q16" s="489"/>
    </row>
    <row r="17" spans="1:17" s="1057" customFormat="1">
      <c r="A17" s="1250"/>
      <c r="B17" s="1480">
        <f>margins!BJ6</f>
        <v>12</v>
      </c>
      <c r="C17" s="1503">
        <v>110.375</v>
      </c>
      <c r="D17"/>
      <c r="E17"/>
      <c r="F17"/>
      <c r="H17" s="1926" t="s">
        <v>750</v>
      </c>
      <c r="I17" s="1927"/>
      <c r="J17" s="1928"/>
      <c r="L17" s="1201"/>
      <c r="M17" s="1070"/>
      <c r="O17" s="660" t="s">
        <v>212</v>
      </c>
      <c r="P17" s="485" t="s">
        <v>321</v>
      </c>
      <c r="Q17" s="489"/>
    </row>
    <row r="18" spans="1:17" s="1057" customFormat="1" ht="15" customHeight="1" thickBot="1">
      <c r="A18" s="1250"/>
      <c r="B18" s="1480">
        <f>margins!BJ7</f>
        <v>11.875</v>
      </c>
      <c r="C18" s="1503">
        <v>110.25</v>
      </c>
      <c r="D18"/>
      <c r="E18"/>
      <c r="F18"/>
      <c r="H18" s="1934" t="s">
        <v>751</v>
      </c>
      <c r="I18" s="1935"/>
      <c r="J18" s="1936"/>
      <c r="L18" s="1341"/>
      <c r="M18" s="1061"/>
      <c r="O18" s="660" t="s">
        <v>210</v>
      </c>
      <c r="P18" s="485" t="s">
        <v>311</v>
      </c>
      <c r="Q18" s="489">
        <f>IF(P18="Choose a Selection",0,(INDEX($D$59:$L$114,MATCH(P18,$C$59:$C$114,0),MATCH($P$16,$D$58:$L$58,0),1)))</f>
        <v>0</v>
      </c>
    </row>
    <row r="19" spans="1:17" s="1057" customFormat="1">
      <c r="A19" s="1250"/>
      <c r="B19" s="1480">
        <f>margins!BJ8</f>
        <v>11.75</v>
      </c>
      <c r="C19" s="1503">
        <v>110.125</v>
      </c>
      <c r="D19"/>
      <c r="E19" s="1725" t="s">
        <v>30</v>
      </c>
      <c r="F19" s="1732"/>
      <c r="L19" s="1341"/>
      <c r="M19" s="1061"/>
      <c r="O19" s="660" t="s">
        <v>4</v>
      </c>
      <c r="P19" s="485" t="s">
        <v>203</v>
      </c>
      <c r="Q19" s="489">
        <f>IF(P19="Full Doc",INDEX($D$59:$L$66,MATCH(P17,C59:C66,0),MATCH(P16,$D$58:$L$58,0),1),0)</f>
        <v>0</v>
      </c>
    </row>
    <row r="20" spans="1:17" s="1057" customFormat="1">
      <c r="A20" s="1250"/>
      <c r="B20" s="1480">
        <f>margins!BJ9</f>
        <v>11.625</v>
      </c>
      <c r="C20" s="1503">
        <v>110</v>
      </c>
      <c r="D20"/>
      <c r="E20" s="1494" t="s">
        <v>84</v>
      </c>
      <c r="F20" s="1252">
        <v>-0.25</v>
      </c>
      <c r="L20" s="1341"/>
      <c r="M20" s="1061"/>
      <c r="O20" s="660" t="s">
        <v>557</v>
      </c>
      <c r="P20" s="485" t="s">
        <v>203</v>
      </c>
      <c r="Q20" s="489">
        <f>IF(P20="Choose a Selection",0,(INDEX($D$67:$L$74,MATCH($P$17,C67:C74,0),MATCH($P$16,$D$58:$L$58,0),1)))</f>
        <v>0</v>
      </c>
    </row>
    <row r="21" spans="1:17" s="1057" customFormat="1" ht="15" customHeight="1">
      <c r="A21" s="1250"/>
      <c r="B21" s="1480">
        <f>margins!BJ10</f>
        <v>11.5</v>
      </c>
      <c r="C21" s="1503">
        <v>109.875</v>
      </c>
      <c r="D21"/>
      <c r="E21" s="1494" t="s">
        <v>85</v>
      </c>
      <c r="F21" s="1252">
        <v>-0.32500000000000001</v>
      </c>
      <c r="G21" s="1205"/>
      <c r="L21" s="1341"/>
      <c r="M21" s="1061"/>
      <c r="O21" s="660" t="s">
        <v>558</v>
      </c>
      <c r="P21" s="485" t="s">
        <v>203</v>
      </c>
      <c r="Q21" s="489">
        <f>IF(P21="Choose a Selection",0,(INDEX($D$83:$L$85,MATCH($P$17,C83:C85,0),MATCH($P$16,$D$58:$L$58,0),1)))</f>
        <v>0</v>
      </c>
    </row>
    <row r="22" spans="1:17" s="1057" customFormat="1">
      <c r="A22" s="1250"/>
      <c r="B22" s="1480">
        <f>margins!BJ11</f>
        <v>11.375</v>
      </c>
      <c r="C22" s="1503">
        <v>109.75</v>
      </c>
      <c r="D22"/>
      <c r="E22" s="1494" t="s">
        <v>86</v>
      </c>
      <c r="F22" s="1500">
        <v>-0.55000000000000004</v>
      </c>
      <c r="L22" s="1341"/>
      <c r="M22" s="1061"/>
      <c r="O22" s="660" t="s">
        <v>559</v>
      </c>
      <c r="P22" s="485" t="s">
        <v>203</v>
      </c>
      <c r="Q22" s="489">
        <f>IF(P22="Choose a Selection",0,(INDEX($D$75:$L$82,MATCH($P$17,C75:C82,0),MATCH($P$16,$D$58:$L$58,0),1)))</f>
        <v>0</v>
      </c>
    </row>
    <row r="23" spans="1:17" s="1057" customFormat="1" ht="15.75" thickBot="1">
      <c r="A23" s="1203"/>
      <c r="B23" s="1480">
        <f>margins!BJ12</f>
        <v>11.25</v>
      </c>
      <c r="C23" s="1503">
        <v>109.625</v>
      </c>
      <c r="D23"/>
      <c r="E23" s="1495" t="s">
        <v>87</v>
      </c>
      <c r="F23" s="1258">
        <v>-0.65</v>
      </c>
      <c r="G23"/>
      <c r="L23" s="1341"/>
      <c r="M23" s="1472"/>
      <c r="O23" s="660" t="s">
        <v>310</v>
      </c>
      <c r="P23" s="485" t="s">
        <v>203</v>
      </c>
      <c r="Q23" s="489">
        <f>IF(P23="Choose a Selection",0,(INDEX($D$59:$L$114,MATCH(P23,$C$59:$C$114,0),MATCH($P$16,$D$58:$L$58,0),1)))</f>
        <v>0</v>
      </c>
    </row>
    <row r="24" spans="1:17" s="1057" customFormat="1" ht="14.25" customHeight="1">
      <c r="A24" s="1203"/>
      <c r="B24" s="1480">
        <f>margins!BJ13</f>
        <v>11.125</v>
      </c>
      <c r="C24" s="1503">
        <v>109.5</v>
      </c>
      <c r="D24"/>
      <c r="E24" s="1057" t="s">
        <v>330</v>
      </c>
      <c r="F24"/>
      <c r="G24"/>
      <c r="L24" s="1341"/>
      <c r="M24" s="1477"/>
      <c r="O24" s="660" t="s">
        <v>45</v>
      </c>
      <c r="P24" s="485" t="s">
        <v>203</v>
      </c>
      <c r="Q24" s="489">
        <f>IF(P24="Choose a Selection",0,(INDEX($D$59:$L$114,MATCH(P24,$C$59:$C$114,0),MATCH($P$16,$D$58:$L$58,0),1)))</f>
        <v>0</v>
      </c>
    </row>
    <row r="25" spans="1:17" s="1057" customFormat="1">
      <c r="A25" s="1203"/>
      <c r="B25" s="1480">
        <f>margins!BJ14</f>
        <v>11</v>
      </c>
      <c r="C25" s="1503">
        <v>109.375</v>
      </c>
      <c r="D25"/>
      <c r="E25"/>
      <c r="H25"/>
      <c r="I25"/>
      <c r="J25" s="1341"/>
      <c r="K25" s="1341"/>
      <c r="L25" s="1341"/>
      <c r="M25" s="1477"/>
      <c r="O25" s="660" t="s">
        <v>56</v>
      </c>
      <c r="P25" s="485" t="s">
        <v>203</v>
      </c>
      <c r="Q25" s="489">
        <f>IF(P25="Choose a Selection",0,(INDEX($D$59:$L$114,MATCH(P25,$C$59:$C$114,0),MATCH($P$16,$D$58:$L$58,0),1)))</f>
        <v>0</v>
      </c>
    </row>
    <row r="26" spans="1:17" s="1057" customFormat="1" ht="14.25" customHeight="1">
      <c r="A26" s="1203"/>
      <c r="B26" s="1480">
        <f>margins!BJ15</f>
        <v>10.875</v>
      </c>
      <c r="C26" s="1503">
        <v>109.25</v>
      </c>
      <c r="D26"/>
      <c r="E26"/>
      <c r="G26"/>
      <c r="H26"/>
      <c r="I26"/>
      <c r="J26"/>
      <c r="K26"/>
      <c r="L26"/>
      <c r="M26" s="1477"/>
      <c r="O26" s="660" t="s">
        <v>60</v>
      </c>
      <c r="P26" s="485" t="s">
        <v>203</v>
      </c>
      <c r="Q26" s="489">
        <f>IF(P26="Choose a Selection",0,(INDEX($D$59:$L$114,MATCH(P26,$C$59:$C$114,0),MATCH($P$16,$D$58:$L$58,0),1)))</f>
        <v>0</v>
      </c>
    </row>
    <row r="27" spans="1:17" s="1057" customFormat="1">
      <c r="A27" s="1203"/>
      <c r="B27" s="1480">
        <f>margins!BJ16</f>
        <v>10.75</v>
      </c>
      <c r="C27" s="1503">
        <v>109.125</v>
      </c>
      <c r="D27"/>
      <c r="E27"/>
      <c r="G27"/>
      <c r="H27"/>
      <c r="I27"/>
      <c r="J27"/>
      <c r="K27"/>
      <c r="L27"/>
      <c r="M27" s="1477"/>
      <c r="O27" s="660" t="s">
        <v>62</v>
      </c>
      <c r="P27" s="485" t="s">
        <v>203</v>
      </c>
      <c r="Q27" s="489">
        <f>IF(P27="Choose a Selection",0,(INDEX($D$59:$L$114,MATCH(P27,$C$59:$C$114,0),MATCH($P$16,$D$58:$L$58,0),1)))</f>
        <v>0</v>
      </c>
    </row>
    <row r="28" spans="1:17" s="1057" customFormat="1" ht="14.25" customHeight="1">
      <c r="A28" s="1203"/>
      <c r="B28" s="1480">
        <f>margins!BJ17</f>
        <v>10.625</v>
      </c>
      <c r="C28" s="1503">
        <v>108.875</v>
      </c>
      <c r="D28"/>
      <c r="E28"/>
      <c r="G28"/>
      <c r="H28"/>
      <c r="I28"/>
      <c r="J28"/>
      <c r="K28"/>
      <c r="L28"/>
      <c r="M28" s="1477"/>
      <c r="O28" s="660" t="s">
        <v>217</v>
      </c>
      <c r="P28" s="485" t="s">
        <v>203</v>
      </c>
      <c r="Q28" s="489">
        <f>IF(P28=15,0, IF(P28=30, F16, 0))</f>
        <v>0</v>
      </c>
    </row>
    <row r="29" spans="1:17" s="1057" customFormat="1" ht="15.75" thickBot="1">
      <c r="A29" s="1203"/>
      <c r="B29" s="1480">
        <f>margins!BJ18</f>
        <v>10.5</v>
      </c>
      <c r="C29" s="1503">
        <v>108.625</v>
      </c>
      <c r="D29"/>
      <c r="E29"/>
      <c r="G29"/>
      <c r="H29"/>
      <c r="I29"/>
      <c r="J29"/>
      <c r="K29"/>
      <c r="L29"/>
      <c r="M29" s="1477"/>
      <c r="O29" s="662" t="s">
        <v>218</v>
      </c>
      <c r="P29" s="486"/>
      <c r="Q29" s="490">
        <f>SUM(Q18:Q28)</f>
        <v>0</v>
      </c>
    </row>
    <row r="30" spans="1:17" s="1057" customFormat="1" ht="15.75" thickBot="1">
      <c r="A30" s="1203"/>
      <c r="B30" s="1480">
        <f>margins!BJ19</f>
        <v>10.375</v>
      </c>
      <c r="C30" s="1503">
        <v>108.375</v>
      </c>
      <c r="D30"/>
      <c r="E30"/>
      <c r="G30"/>
      <c r="H30"/>
      <c r="J30"/>
      <c r="K30"/>
      <c r="L30"/>
      <c r="M30" s="1473"/>
      <c r="O30" s="473"/>
      <c r="P30" s="474"/>
      <c r="Q30" s="483"/>
    </row>
    <row r="31" spans="1:17" s="1057" customFormat="1" ht="15.75" thickBot="1">
      <c r="A31" s="1203"/>
      <c r="B31" s="1480">
        <f>margins!BJ20</f>
        <v>10.25</v>
      </c>
      <c r="C31" s="1503">
        <v>108.125</v>
      </c>
      <c r="D31"/>
      <c r="E31"/>
      <c r="G31" s="1202"/>
      <c r="H31" s="1201"/>
      <c r="J31"/>
      <c r="K31"/>
      <c r="L31"/>
      <c r="M31" s="1473"/>
      <c r="O31" s="475" t="s">
        <v>219</v>
      </c>
      <c r="P31" s="476"/>
      <c r="Q31" s="663">
        <f>IF(ISNUMBER(MATCH("NA", Q18:Q28, 0)), "NA", MIN(F14,(Q15+Q29)))</f>
        <v>100</v>
      </c>
    </row>
    <row r="32" spans="1:17" s="1057" customFormat="1" ht="15.75" thickBot="1">
      <c r="A32" s="1203"/>
      <c r="B32" s="1480">
        <f>margins!BJ21</f>
        <v>10.125</v>
      </c>
      <c r="C32" s="1503">
        <v>107.875</v>
      </c>
      <c r="D32"/>
      <c r="E32"/>
      <c r="M32" s="1061"/>
      <c r="O32" s="470"/>
      <c r="P32" s="470"/>
      <c r="Q32" s="470"/>
    </row>
    <row r="33" spans="1:17" s="1057" customFormat="1" ht="15.75" thickBot="1">
      <c r="A33" s="1203"/>
      <c r="B33" s="1480">
        <f>margins!BJ22</f>
        <v>10</v>
      </c>
      <c r="C33" s="1503">
        <v>107.625</v>
      </c>
      <c r="D33"/>
      <c r="E33"/>
      <c r="M33" s="1061"/>
      <c r="O33" s="846" t="s">
        <v>485</v>
      </c>
      <c r="P33" s="847"/>
      <c r="Q33" s="848"/>
    </row>
    <row r="34" spans="1:17" s="1057" customFormat="1">
      <c r="A34" s="1203"/>
      <c r="B34" s="1480">
        <f>margins!BJ23</f>
        <v>9.875</v>
      </c>
      <c r="C34" s="1503">
        <v>107.375</v>
      </c>
      <c r="D34"/>
      <c r="E34"/>
      <c r="M34" s="1061"/>
    </row>
    <row r="35" spans="1:17" s="1057" customFormat="1">
      <c r="A35" s="1203"/>
      <c r="B35" s="1480">
        <f>margins!BJ24</f>
        <v>9.75</v>
      </c>
      <c r="C35" s="1503">
        <v>107</v>
      </c>
      <c r="D35"/>
      <c r="E35"/>
      <c r="M35" s="1061"/>
    </row>
    <row r="36" spans="1:17" s="1057" customFormat="1">
      <c r="A36" s="1203"/>
      <c r="B36" s="1480">
        <f>margins!BJ25</f>
        <v>9.625</v>
      </c>
      <c r="C36" s="1503">
        <v>106.625</v>
      </c>
      <c r="D36"/>
      <c r="E36"/>
      <c r="M36" s="1061"/>
    </row>
    <row r="37" spans="1:17" s="1057" customFormat="1">
      <c r="A37" s="1203"/>
      <c r="B37" s="1480">
        <f>margins!BJ26</f>
        <v>9.5</v>
      </c>
      <c r="C37" s="1503">
        <v>106.25</v>
      </c>
      <c r="D37"/>
      <c r="E37"/>
      <c r="M37" s="1061"/>
    </row>
    <row r="38" spans="1:17" s="1057" customFormat="1">
      <c r="A38" s="1203"/>
      <c r="B38" s="1480">
        <f>margins!BJ27</f>
        <v>9.375</v>
      </c>
      <c r="C38" s="1503">
        <v>105.875</v>
      </c>
      <c r="D38"/>
      <c r="E38"/>
      <c r="M38" s="1061"/>
    </row>
    <row r="39" spans="1:17" s="1057" customFormat="1">
      <c r="A39" s="1203"/>
      <c r="B39" s="1480">
        <f>margins!BJ28</f>
        <v>9.25</v>
      </c>
      <c r="C39" s="1503">
        <v>105.5</v>
      </c>
      <c r="D39"/>
      <c r="E39"/>
      <c r="M39" s="1061"/>
    </row>
    <row r="40" spans="1:17" s="1057" customFormat="1">
      <c r="A40" s="1203"/>
      <c r="B40" s="1480">
        <f>margins!BJ29</f>
        <v>9.125</v>
      </c>
      <c r="C40" s="1503">
        <v>105.125</v>
      </c>
      <c r="D40"/>
      <c r="E40"/>
      <c r="M40" s="1061"/>
    </row>
    <row r="41" spans="1:17" s="1057" customFormat="1">
      <c r="A41" s="1203"/>
      <c r="B41" s="1480">
        <f>margins!BJ30</f>
        <v>9</v>
      </c>
      <c r="C41" s="1503">
        <v>104.75</v>
      </c>
      <c r="D41"/>
      <c r="E41"/>
      <c r="F41"/>
      <c r="G41"/>
      <c r="M41" s="1061"/>
    </row>
    <row r="42" spans="1:17" s="1057" customFormat="1">
      <c r="A42" s="1203"/>
      <c r="B42" s="1480">
        <f>margins!BJ31</f>
        <v>8.875</v>
      </c>
      <c r="C42" s="1503">
        <v>104.375</v>
      </c>
      <c r="D42"/>
      <c r="E42"/>
      <c r="F42"/>
      <c r="G42"/>
      <c r="M42" s="1061"/>
    </row>
    <row r="43" spans="1:17" s="1057" customFormat="1">
      <c r="A43" s="1203"/>
      <c r="B43" s="1480">
        <f>margins!BJ32</f>
        <v>8.75</v>
      </c>
      <c r="C43" s="1503">
        <v>104</v>
      </c>
      <c r="D43"/>
      <c r="F43"/>
      <c r="G43"/>
      <c r="M43" s="1061"/>
    </row>
    <row r="44" spans="1:17" s="1057" customFormat="1">
      <c r="A44" s="1203"/>
      <c r="B44" s="1480">
        <f>margins!BJ33</f>
        <v>8.625</v>
      </c>
      <c r="C44" s="1503">
        <v>103.625</v>
      </c>
      <c r="D44"/>
      <c r="F44"/>
      <c r="G44"/>
      <c r="H44" s="1201"/>
      <c r="M44" s="1061"/>
    </row>
    <row r="45" spans="1:17" s="1057" customFormat="1">
      <c r="A45" s="1203"/>
      <c r="B45" s="1480">
        <f>margins!BJ34</f>
        <v>8.5</v>
      </c>
      <c r="C45" s="1503">
        <v>103.125</v>
      </c>
      <c r="D45"/>
      <c r="F45"/>
      <c r="G45"/>
      <c r="M45" s="1061"/>
    </row>
    <row r="46" spans="1:17" s="1057" customFormat="1">
      <c r="A46" s="1203"/>
      <c r="B46" s="1480">
        <f>margins!BJ35</f>
        <v>8.375</v>
      </c>
      <c r="C46" s="1503">
        <v>102.625</v>
      </c>
      <c r="D46"/>
      <c r="F46"/>
      <c r="G46"/>
      <c r="M46" s="1061"/>
    </row>
    <row r="47" spans="1:17" s="1057" customFormat="1">
      <c r="A47" s="1203"/>
      <c r="B47" s="1480">
        <f>margins!BJ36</f>
        <v>8.25</v>
      </c>
      <c r="C47" s="1503">
        <v>102.125</v>
      </c>
      <c r="D47"/>
      <c r="M47" s="1061"/>
    </row>
    <row r="48" spans="1:17" s="1057" customFormat="1">
      <c r="A48" s="1203"/>
      <c r="B48" s="1480">
        <f>margins!BJ37</f>
        <v>8.125</v>
      </c>
      <c r="C48" s="1503">
        <v>101.625</v>
      </c>
      <c r="D48"/>
      <c r="M48" s="1061"/>
    </row>
    <row r="49" spans="1:13" s="1057" customFormat="1">
      <c r="A49" s="1203"/>
      <c r="B49" s="1480">
        <f>margins!BJ38</f>
        <v>8</v>
      </c>
      <c r="C49" s="1503">
        <v>101</v>
      </c>
      <c r="D49"/>
      <c r="M49" s="1061"/>
    </row>
    <row r="50" spans="1:13" s="1057" customFormat="1">
      <c r="A50" s="1203"/>
      <c r="B50" s="1480">
        <f>margins!BJ39</f>
        <v>7.875</v>
      </c>
      <c r="C50" s="1503">
        <v>100.375</v>
      </c>
      <c r="D50"/>
      <c r="M50" s="1061"/>
    </row>
    <row r="51" spans="1:13" s="1057" customFormat="1">
      <c r="A51" s="1203"/>
      <c r="B51" s="1480">
        <f>margins!BJ40</f>
        <v>7.75</v>
      </c>
      <c r="C51" s="1503">
        <v>99.75</v>
      </c>
      <c r="D51"/>
      <c r="K51" s="1333"/>
      <c r="L51" s="1333"/>
      <c r="M51" s="1474"/>
    </row>
    <row r="52" spans="1:13" s="1057" customFormat="1">
      <c r="A52" s="1203"/>
      <c r="B52" s="1480">
        <f>margins!BJ41</f>
        <v>7.625</v>
      </c>
      <c r="C52" s="1503">
        <v>99</v>
      </c>
      <c r="D52"/>
      <c r="K52" s="1249"/>
      <c r="L52" s="1249"/>
      <c r="M52" s="1471"/>
    </row>
    <row r="53" spans="1:13" s="1057" customFormat="1">
      <c r="A53" s="1203"/>
      <c r="B53" s="1480">
        <f>margins!BJ42</f>
        <v>7.5</v>
      </c>
      <c r="C53" s="1503">
        <v>98.25</v>
      </c>
      <c r="D53"/>
      <c r="M53" s="1061"/>
    </row>
    <row r="54" spans="1:13" s="1057" customFormat="1" ht="15.75" thickBot="1">
      <c r="A54" s="1203"/>
      <c r="B54" s="1490">
        <f>margins!BJ43</f>
        <v>7.375</v>
      </c>
      <c r="C54" s="1504">
        <v>97.5</v>
      </c>
      <c r="D54"/>
      <c r="M54" s="1061"/>
    </row>
    <row r="55" spans="1:13" s="1057" customFormat="1">
      <c r="A55" s="1203"/>
      <c r="B55"/>
      <c r="M55" s="1061"/>
    </row>
    <row r="56" spans="1:13" s="1057" customFormat="1" ht="15.75" thickBot="1">
      <c r="A56" s="1203"/>
      <c r="C56" s="1271"/>
      <c r="D56" s="1271"/>
      <c r="E56" s="1271"/>
      <c r="F56" s="1279"/>
      <c r="G56" s="1325"/>
      <c r="H56" s="1279"/>
      <c r="I56" s="1279"/>
      <c r="J56" s="1325"/>
      <c r="K56" s="1325"/>
      <c r="L56" s="1325"/>
      <c r="M56" s="1434"/>
    </row>
    <row r="57" spans="1:13" s="1057" customFormat="1" ht="15" customHeight="1" thickBot="1">
      <c r="A57" s="1203"/>
      <c r="B57" s="1202" t="s">
        <v>244</v>
      </c>
      <c r="C57" s="1202"/>
      <c r="D57" s="1743" t="s">
        <v>329</v>
      </c>
      <c r="E57" s="1744"/>
      <c r="F57" s="1744"/>
      <c r="G57" s="1744"/>
      <c r="H57" s="1744"/>
      <c r="I57" s="1744"/>
      <c r="J57" s="1744"/>
      <c r="K57" s="1744"/>
      <c r="L57" s="1745"/>
      <c r="M57" s="1434"/>
    </row>
    <row r="58" spans="1:13" s="1057" customFormat="1" ht="15.75" thickBot="1">
      <c r="A58" s="1203"/>
      <c r="B58" s="1441"/>
      <c r="C58" s="1455" t="s">
        <v>203</v>
      </c>
      <c r="D58" s="1221" t="s">
        <v>15</v>
      </c>
      <c r="E58" s="1221" t="s">
        <v>16</v>
      </c>
      <c r="F58" s="1221" t="s">
        <v>17</v>
      </c>
      <c r="G58" s="1319" t="s">
        <v>18</v>
      </c>
      <c r="H58" s="1517" t="s">
        <v>19</v>
      </c>
      <c r="I58" s="1221" t="s">
        <v>20</v>
      </c>
      <c r="J58" s="1221" t="s">
        <v>21</v>
      </c>
      <c r="K58" s="1221" t="s">
        <v>22</v>
      </c>
      <c r="L58" s="1220" t="s">
        <v>23</v>
      </c>
      <c r="M58" s="1434"/>
    </row>
    <row r="59" spans="1:13" s="1057" customFormat="1">
      <c r="A59" s="1203"/>
      <c r="B59" s="1335"/>
      <c r="C59" s="1426" t="s">
        <v>410</v>
      </c>
      <c r="D59" s="1212">
        <v>1.875</v>
      </c>
      <c r="E59" s="1212">
        <v>1.875</v>
      </c>
      <c r="F59" s="1212">
        <v>1.625</v>
      </c>
      <c r="G59" s="1212">
        <v>1.375</v>
      </c>
      <c r="H59" s="1212">
        <v>1.125</v>
      </c>
      <c r="I59" s="1212">
        <v>0.25</v>
      </c>
      <c r="J59" s="1212">
        <v>-0.625</v>
      </c>
      <c r="K59" s="1212">
        <v>-4.5</v>
      </c>
      <c r="L59" s="1211">
        <v>-6.125</v>
      </c>
      <c r="M59" s="1434"/>
    </row>
    <row r="60" spans="1:13" s="1057" customFormat="1">
      <c r="A60" s="1203"/>
      <c r="B60" s="1505"/>
      <c r="C60" s="1427" t="s">
        <v>325</v>
      </c>
      <c r="D60" s="1215">
        <v>1.875</v>
      </c>
      <c r="E60" s="1215">
        <v>1.875</v>
      </c>
      <c r="F60" s="1215">
        <v>1.625</v>
      </c>
      <c r="G60" s="1215">
        <v>1.375</v>
      </c>
      <c r="H60" s="1215">
        <v>1.125</v>
      </c>
      <c r="I60" s="1215">
        <v>0.125</v>
      </c>
      <c r="J60" s="1215">
        <v>-0.75</v>
      </c>
      <c r="K60" s="1215">
        <v>-4.75</v>
      </c>
      <c r="L60" s="1214">
        <v>-6.375</v>
      </c>
      <c r="M60" s="1434"/>
    </row>
    <row r="61" spans="1:13" s="1057" customFormat="1">
      <c r="A61" s="1203"/>
      <c r="B61" s="1435"/>
      <c r="C61" s="1427" t="s">
        <v>324</v>
      </c>
      <c r="D61" s="1215">
        <v>1.375</v>
      </c>
      <c r="E61" s="1215">
        <v>1.375</v>
      </c>
      <c r="F61" s="1215">
        <v>1.125</v>
      </c>
      <c r="G61" s="1215">
        <v>0.875</v>
      </c>
      <c r="H61" s="1215">
        <v>0.625</v>
      </c>
      <c r="I61" s="1215">
        <v>-0.5</v>
      </c>
      <c r="J61" s="1215">
        <v>-1.5</v>
      </c>
      <c r="K61" s="1215">
        <v>-5.375</v>
      </c>
      <c r="L61" s="1214">
        <v>-7.375</v>
      </c>
      <c r="M61" s="1434"/>
    </row>
    <row r="62" spans="1:13" s="1057" customFormat="1">
      <c r="A62" s="1203"/>
      <c r="B62" s="1427" t="s">
        <v>202</v>
      </c>
      <c r="C62" s="1427" t="s">
        <v>323</v>
      </c>
      <c r="D62" s="1215">
        <v>1</v>
      </c>
      <c r="E62" s="1215">
        <v>1</v>
      </c>
      <c r="F62" s="1215">
        <v>0.625</v>
      </c>
      <c r="G62" s="1215">
        <v>0.375</v>
      </c>
      <c r="H62" s="1215">
        <v>0.125</v>
      </c>
      <c r="I62" s="1215">
        <v>-1.125</v>
      </c>
      <c r="J62" s="1215">
        <v>-2.75</v>
      </c>
      <c r="K62" s="1215">
        <v>-6.75</v>
      </c>
      <c r="L62" s="1214">
        <v>-9</v>
      </c>
      <c r="M62" s="1434"/>
    </row>
    <row r="63" spans="1:13" s="1057" customFormat="1">
      <c r="A63" s="1203"/>
      <c r="B63" s="1506" t="s">
        <v>328</v>
      </c>
      <c r="C63" s="1427" t="s">
        <v>322</v>
      </c>
      <c r="D63" s="1215">
        <v>0.125</v>
      </c>
      <c r="E63" s="1215">
        <v>0.125</v>
      </c>
      <c r="F63" s="1215">
        <v>-0.375</v>
      </c>
      <c r="G63" s="1215">
        <v>-0.75</v>
      </c>
      <c r="H63" s="1215">
        <v>-1</v>
      </c>
      <c r="I63" s="1215">
        <v>-2</v>
      </c>
      <c r="J63" s="1215">
        <v>-4</v>
      </c>
      <c r="K63" s="1215">
        <v>-8.125</v>
      </c>
      <c r="L63" s="1214">
        <v>-10</v>
      </c>
      <c r="M63" s="1434"/>
    </row>
    <row r="64" spans="1:13" s="1057" customFormat="1">
      <c r="A64" s="1203"/>
      <c r="B64" s="1435"/>
      <c r="C64" s="1427" t="s">
        <v>321</v>
      </c>
      <c r="D64" s="1215">
        <v>-0.75</v>
      </c>
      <c r="E64" s="1215">
        <v>-0.75</v>
      </c>
      <c r="F64" s="1215">
        <v>-1.375</v>
      </c>
      <c r="G64" s="1215">
        <v>-1.875</v>
      </c>
      <c r="H64" s="1215">
        <v>-2.375</v>
      </c>
      <c r="I64" s="1215">
        <v>-3.125</v>
      </c>
      <c r="J64" s="1215">
        <v>-5.5</v>
      </c>
      <c r="K64" s="1215">
        <v>-9.375</v>
      </c>
      <c r="L64" s="1214">
        <v>-11.5</v>
      </c>
      <c r="M64" s="1434"/>
    </row>
    <row r="65" spans="1:13" s="1057" customFormat="1">
      <c r="A65" s="1203"/>
      <c r="B65" s="1435"/>
      <c r="C65" s="1427" t="s">
        <v>320</v>
      </c>
      <c r="D65" s="1293">
        <v>-3</v>
      </c>
      <c r="E65" s="1293">
        <v>-3</v>
      </c>
      <c r="F65" s="1293">
        <v>-3.75</v>
      </c>
      <c r="G65" s="1293">
        <v>-4.125</v>
      </c>
      <c r="H65" s="1293">
        <v>-4.75</v>
      </c>
      <c r="I65" s="1293">
        <v>-5.75</v>
      </c>
      <c r="J65" s="1293">
        <v>-8.375</v>
      </c>
      <c r="K65" s="1293">
        <v>-11.125</v>
      </c>
      <c r="L65" s="1292" t="s">
        <v>14</v>
      </c>
      <c r="M65" s="1434"/>
    </row>
    <row r="66" spans="1:13" s="1057" customFormat="1" ht="15.75" thickBot="1">
      <c r="A66" s="1203"/>
      <c r="B66" s="1436"/>
      <c r="C66" s="1210" t="s">
        <v>319</v>
      </c>
      <c r="D66" s="1277">
        <v>-4.25</v>
      </c>
      <c r="E66" s="1277">
        <v>-4.375</v>
      </c>
      <c r="F66" s="1277">
        <v>-4.875</v>
      </c>
      <c r="G66" s="1277">
        <v>-5.5</v>
      </c>
      <c r="H66" s="1277">
        <v>-6</v>
      </c>
      <c r="I66" s="1277">
        <v>-7.25</v>
      </c>
      <c r="J66" s="1277">
        <v>-10.25</v>
      </c>
      <c r="K66" s="1277" t="s">
        <v>14</v>
      </c>
      <c r="L66" s="1276" t="s">
        <v>14</v>
      </c>
      <c r="M66" s="1434"/>
    </row>
    <row r="67" spans="1:13" s="1057" customFormat="1">
      <c r="A67" s="1203"/>
      <c r="B67" s="1335"/>
      <c r="C67" s="1427" t="s">
        <v>410</v>
      </c>
      <c r="D67" s="1212">
        <v>0.875</v>
      </c>
      <c r="E67" s="1212">
        <v>0.875</v>
      </c>
      <c r="F67" s="1212">
        <v>0.625</v>
      </c>
      <c r="G67" s="1212">
        <v>0.25</v>
      </c>
      <c r="H67" s="1212">
        <v>0</v>
      </c>
      <c r="I67" s="1212">
        <v>-1</v>
      </c>
      <c r="J67" s="1212">
        <v>-1.875</v>
      </c>
      <c r="K67" s="1212">
        <v>-5.875</v>
      </c>
      <c r="L67" s="1211">
        <v>-7.625</v>
      </c>
      <c r="M67" s="1434"/>
    </row>
    <row r="68" spans="1:13" s="1057" customFormat="1">
      <c r="A68" s="1203"/>
      <c r="B68" s="1427"/>
      <c r="C68" s="1427" t="s">
        <v>325</v>
      </c>
      <c r="D68" s="1215">
        <v>0.875</v>
      </c>
      <c r="E68" s="1215">
        <v>0.875</v>
      </c>
      <c r="F68" s="1215">
        <v>0.625</v>
      </c>
      <c r="G68" s="1215">
        <v>0.25</v>
      </c>
      <c r="H68" s="1215">
        <v>0</v>
      </c>
      <c r="I68" s="1215">
        <v>-1.125</v>
      </c>
      <c r="J68" s="1215">
        <v>-2</v>
      </c>
      <c r="K68" s="1215">
        <v>-6.125</v>
      </c>
      <c r="L68" s="1214">
        <v>-7.875</v>
      </c>
      <c r="M68" s="1434"/>
    </row>
    <row r="69" spans="1:13" s="1057" customFormat="1">
      <c r="A69" s="1203"/>
      <c r="B69" s="1507"/>
      <c r="C69" s="1427" t="s">
        <v>324</v>
      </c>
      <c r="D69" s="1215">
        <v>0.375</v>
      </c>
      <c r="E69" s="1215">
        <v>0.375</v>
      </c>
      <c r="F69" s="1215">
        <v>0.125</v>
      </c>
      <c r="G69" s="1215">
        <v>-0.25</v>
      </c>
      <c r="H69" s="1215">
        <v>-0.5</v>
      </c>
      <c r="I69" s="1215">
        <v>-1.75</v>
      </c>
      <c r="J69" s="1215">
        <v>-2.75</v>
      </c>
      <c r="K69" s="1215">
        <v>-6.75</v>
      </c>
      <c r="L69" s="1214">
        <v>-8.875</v>
      </c>
      <c r="M69" s="1434"/>
    </row>
    <row r="70" spans="1:13" s="1057" customFormat="1" ht="15" customHeight="1">
      <c r="A70" s="1203"/>
      <c r="B70" s="1499" t="s">
        <v>752</v>
      </c>
      <c r="C70" s="1427" t="s">
        <v>323</v>
      </c>
      <c r="D70" s="1215">
        <v>0</v>
      </c>
      <c r="E70" s="1215">
        <v>0</v>
      </c>
      <c r="F70" s="1215">
        <v>-0.375</v>
      </c>
      <c r="G70" s="1215">
        <v>-0.75</v>
      </c>
      <c r="H70" s="1215">
        <v>-1</v>
      </c>
      <c r="I70" s="1215">
        <v>-2.375</v>
      </c>
      <c r="J70" s="1215">
        <v>-4</v>
      </c>
      <c r="K70" s="1215">
        <v>-8.25</v>
      </c>
      <c r="L70" s="1214">
        <v>-10.75</v>
      </c>
      <c r="M70" s="1434"/>
    </row>
    <row r="71" spans="1:13" s="1057" customFormat="1">
      <c r="A71" s="1203"/>
      <c r="B71" s="1427">
        <v>1099</v>
      </c>
      <c r="C71" s="1427" t="s">
        <v>322</v>
      </c>
      <c r="D71" s="1215">
        <v>-0.625</v>
      </c>
      <c r="E71" s="1215">
        <v>-0.625</v>
      </c>
      <c r="F71" s="1215">
        <v>-1.125</v>
      </c>
      <c r="G71" s="1215">
        <v>-1.625</v>
      </c>
      <c r="H71" s="1215">
        <v>-1.875</v>
      </c>
      <c r="I71" s="1215">
        <v>-3</v>
      </c>
      <c r="J71" s="1215">
        <v>-5.125</v>
      </c>
      <c r="K71" s="1215">
        <v>-9.625</v>
      </c>
      <c r="L71" s="1214">
        <v>-11.75</v>
      </c>
      <c r="M71" s="1434"/>
    </row>
    <row r="72" spans="1:13" s="1057" customFormat="1">
      <c r="A72" s="1203"/>
      <c r="B72" s="1427"/>
      <c r="C72" s="1427" t="s">
        <v>321</v>
      </c>
      <c r="D72" s="1215">
        <v>-1.625</v>
      </c>
      <c r="E72" s="1215">
        <v>-1.625</v>
      </c>
      <c r="F72" s="1215">
        <v>-2.25</v>
      </c>
      <c r="G72" s="1215">
        <v>-2.875</v>
      </c>
      <c r="H72" s="1215">
        <v>-3.375</v>
      </c>
      <c r="I72" s="1215">
        <v>-4.25</v>
      </c>
      <c r="J72" s="1215">
        <v>-6.75</v>
      </c>
      <c r="K72" s="1215">
        <v>-11.25</v>
      </c>
      <c r="L72" s="1214" t="s">
        <v>14</v>
      </c>
      <c r="M72" s="1434"/>
    </row>
    <row r="73" spans="1:13" s="1057" customFormat="1">
      <c r="A73" s="1203"/>
      <c r="B73" s="1427"/>
      <c r="C73" s="1427" t="s">
        <v>320</v>
      </c>
      <c r="D73" s="1215">
        <v>-4</v>
      </c>
      <c r="E73" s="1215">
        <v>-4</v>
      </c>
      <c r="F73" s="1215">
        <v>-4.75</v>
      </c>
      <c r="G73" s="1215">
        <v>-5.25</v>
      </c>
      <c r="H73" s="1215">
        <v>-5.875</v>
      </c>
      <c r="I73" s="1215">
        <v>-7</v>
      </c>
      <c r="J73" s="1215">
        <v>-9.75</v>
      </c>
      <c r="K73" s="1215" t="s">
        <v>14</v>
      </c>
      <c r="L73" s="1214" t="s">
        <v>14</v>
      </c>
      <c r="M73" s="1434"/>
    </row>
    <row r="74" spans="1:13" s="1057" customFormat="1" ht="15.75" thickBot="1">
      <c r="A74" s="1203"/>
      <c r="B74" s="1436"/>
      <c r="C74" s="1210" t="s">
        <v>319</v>
      </c>
      <c r="D74" s="1277">
        <v>-5.75</v>
      </c>
      <c r="E74" s="1277">
        <v>-5.875</v>
      </c>
      <c r="F74" s="1277">
        <v>-6.375</v>
      </c>
      <c r="G74" s="1277">
        <v>-7.125</v>
      </c>
      <c r="H74" s="1277">
        <v>-7.625</v>
      </c>
      <c r="I74" s="1277">
        <v>-9</v>
      </c>
      <c r="J74" s="1277" t="s">
        <v>14</v>
      </c>
      <c r="K74" s="1277" t="s">
        <v>14</v>
      </c>
      <c r="L74" s="1276" t="s">
        <v>14</v>
      </c>
      <c r="M74" s="1434"/>
    </row>
    <row r="75" spans="1:13" s="1057" customFormat="1">
      <c r="A75" s="1203"/>
      <c r="B75" s="1335"/>
      <c r="C75" s="1426" t="s">
        <v>410</v>
      </c>
      <c r="D75" s="1212">
        <v>-0.5</v>
      </c>
      <c r="E75" s="1212">
        <v>-0.5</v>
      </c>
      <c r="F75" s="1212">
        <v>-0.75</v>
      </c>
      <c r="G75" s="1212">
        <v>-1.375</v>
      </c>
      <c r="H75" s="1212">
        <v>-1.625</v>
      </c>
      <c r="I75" s="1212">
        <v>-2.75</v>
      </c>
      <c r="J75" s="1212">
        <v>-3.75</v>
      </c>
      <c r="K75" s="1212">
        <v>-7.875</v>
      </c>
      <c r="L75" s="1211" t="s">
        <v>14</v>
      </c>
      <c r="M75" s="1434"/>
    </row>
    <row r="76" spans="1:13" s="1057" customFormat="1">
      <c r="A76" s="1203"/>
      <c r="B76" s="1435"/>
      <c r="C76" s="1427" t="s">
        <v>325</v>
      </c>
      <c r="D76" s="1215">
        <v>-0.5</v>
      </c>
      <c r="E76" s="1215">
        <v>-0.5</v>
      </c>
      <c r="F76" s="1215">
        <v>-0.75</v>
      </c>
      <c r="G76" s="1215">
        <v>-1.375</v>
      </c>
      <c r="H76" s="1215">
        <v>-1.625</v>
      </c>
      <c r="I76" s="1215">
        <v>-2.875</v>
      </c>
      <c r="J76" s="1215">
        <v>-4</v>
      </c>
      <c r="K76" s="1215">
        <v>-8.125</v>
      </c>
      <c r="L76" s="1214" t="s">
        <v>14</v>
      </c>
      <c r="M76" s="1434"/>
    </row>
    <row r="77" spans="1:13" s="1057" customFormat="1">
      <c r="A77" s="1203"/>
      <c r="B77" s="1435"/>
      <c r="C77" s="1427" t="s">
        <v>324</v>
      </c>
      <c r="D77" s="1215">
        <v>-1</v>
      </c>
      <c r="E77" s="1215">
        <v>-1</v>
      </c>
      <c r="F77" s="1215">
        <v>-1.25</v>
      </c>
      <c r="G77" s="1215">
        <v>-1.875</v>
      </c>
      <c r="H77" s="1215">
        <v>-2.125</v>
      </c>
      <c r="I77" s="1215">
        <v>-3.5</v>
      </c>
      <c r="J77" s="1215">
        <v>-4.75</v>
      </c>
      <c r="K77" s="1215">
        <v>-8.75</v>
      </c>
      <c r="L77" s="1214" t="s">
        <v>14</v>
      </c>
      <c r="M77" s="1434"/>
    </row>
    <row r="78" spans="1:13" s="1057" customFormat="1">
      <c r="A78" s="1203"/>
      <c r="B78" s="1427" t="s">
        <v>553</v>
      </c>
      <c r="C78" s="1427" t="s">
        <v>323</v>
      </c>
      <c r="D78" s="1215">
        <v>-1.375</v>
      </c>
      <c r="E78" s="1215">
        <v>-1.375</v>
      </c>
      <c r="F78" s="1215">
        <v>-1.75</v>
      </c>
      <c r="G78" s="1215">
        <v>-2.375</v>
      </c>
      <c r="H78" s="1215">
        <v>-2.625</v>
      </c>
      <c r="I78" s="1215">
        <v>-4.125</v>
      </c>
      <c r="J78" s="1215">
        <v>-6</v>
      </c>
      <c r="K78" s="1215">
        <v>-10.25</v>
      </c>
      <c r="L78" s="1214" t="s">
        <v>14</v>
      </c>
      <c r="M78" s="1434"/>
    </row>
    <row r="79" spans="1:13" s="1057" customFormat="1">
      <c r="A79" s="1203"/>
      <c r="B79" s="1427" t="s">
        <v>89</v>
      </c>
      <c r="C79" s="1427" t="s">
        <v>322</v>
      </c>
      <c r="D79" s="1215">
        <v>-2.125</v>
      </c>
      <c r="E79" s="1215">
        <v>-2.125</v>
      </c>
      <c r="F79" s="1215">
        <v>-2.625</v>
      </c>
      <c r="G79" s="1215">
        <v>-3.375</v>
      </c>
      <c r="H79" s="1215">
        <v>-3.625</v>
      </c>
      <c r="I79" s="1215">
        <v>-4.875</v>
      </c>
      <c r="J79" s="1215">
        <v>-7.25</v>
      </c>
      <c r="K79" s="1215">
        <v>-11.875</v>
      </c>
      <c r="L79" s="1214" t="s">
        <v>14</v>
      </c>
      <c r="M79" s="1434"/>
    </row>
    <row r="80" spans="1:13" s="1057" customFormat="1">
      <c r="A80" s="1203"/>
      <c r="B80" s="1427"/>
      <c r="C80" s="1427" t="s">
        <v>321</v>
      </c>
      <c r="D80" s="1215">
        <v>-3.375</v>
      </c>
      <c r="E80" s="1215">
        <v>-3.375</v>
      </c>
      <c r="F80" s="1215">
        <v>-4</v>
      </c>
      <c r="G80" s="1215">
        <v>-4.75</v>
      </c>
      <c r="H80" s="1215">
        <v>-5.25</v>
      </c>
      <c r="I80" s="1215">
        <v>-6.25</v>
      </c>
      <c r="J80" s="1215">
        <v>-9</v>
      </c>
      <c r="K80" s="1215" t="s">
        <v>14</v>
      </c>
      <c r="L80" s="1214" t="s">
        <v>14</v>
      </c>
      <c r="M80" s="1434"/>
    </row>
    <row r="81" spans="1:13" s="1057" customFormat="1">
      <c r="A81" s="1203"/>
      <c r="B81" s="1427"/>
      <c r="C81" s="1427" t="s">
        <v>320</v>
      </c>
      <c r="D81" s="1215">
        <v>-5.75</v>
      </c>
      <c r="E81" s="1215">
        <v>-5.75</v>
      </c>
      <c r="F81" s="1215">
        <v>-6.5</v>
      </c>
      <c r="G81" s="1215">
        <v>-7.125</v>
      </c>
      <c r="H81" s="1215">
        <v>-7.75</v>
      </c>
      <c r="I81" s="1215">
        <v>-9</v>
      </c>
      <c r="J81" s="1215" t="s">
        <v>14</v>
      </c>
      <c r="K81" s="1215" t="s">
        <v>14</v>
      </c>
      <c r="L81" s="1214" t="s">
        <v>14</v>
      </c>
      <c r="M81" s="1434"/>
    </row>
    <row r="82" spans="1:13" s="1057" customFormat="1" ht="15.75" thickBot="1">
      <c r="A82" s="1203"/>
      <c r="B82" s="1210"/>
      <c r="C82" s="1210" t="s">
        <v>319</v>
      </c>
      <c r="D82" s="1208">
        <v>-7.75</v>
      </c>
      <c r="E82" s="1208">
        <v>-7.875</v>
      </c>
      <c r="F82" s="1208">
        <v>-8.375</v>
      </c>
      <c r="G82" s="1208">
        <v>-9.375</v>
      </c>
      <c r="H82" s="1208">
        <v>-9.875</v>
      </c>
      <c r="I82" s="1208" t="s">
        <v>14</v>
      </c>
      <c r="J82" s="1208" t="s">
        <v>14</v>
      </c>
      <c r="K82" s="1208" t="s">
        <v>14</v>
      </c>
      <c r="L82" s="1207" t="s">
        <v>14</v>
      </c>
      <c r="M82" s="1434"/>
    </row>
    <row r="83" spans="1:13" s="1057" customFormat="1">
      <c r="A83" s="1203"/>
      <c r="B83" s="1427"/>
      <c r="C83" s="1427" t="s">
        <v>317</v>
      </c>
      <c r="D83" s="1279">
        <v>0</v>
      </c>
      <c r="E83" s="1279">
        <v>0</v>
      </c>
      <c r="F83" s="1279">
        <v>0</v>
      </c>
      <c r="G83" s="1279">
        <v>0</v>
      </c>
      <c r="H83" s="1279">
        <v>0</v>
      </c>
      <c r="I83" s="1279">
        <v>0</v>
      </c>
      <c r="J83" s="1279">
        <v>0</v>
      </c>
      <c r="K83" s="1279">
        <v>0</v>
      </c>
      <c r="L83" s="1434">
        <v>0</v>
      </c>
      <c r="M83" s="1434"/>
    </row>
    <row r="84" spans="1:13" s="1057" customFormat="1">
      <c r="A84" s="1203"/>
      <c r="B84" s="1427" t="s">
        <v>318</v>
      </c>
      <c r="C84" s="1427" t="s">
        <v>316</v>
      </c>
      <c r="D84" s="1279">
        <v>0</v>
      </c>
      <c r="E84" s="1279">
        <v>0</v>
      </c>
      <c r="F84" s="1279">
        <v>0</v>
      </c>
      <c r="G84" s="1279">
        <v>0</v>
      </c>
      <c r="H84" s="1279">
        <v>0</v>
      </c>
      <c r="I84" s="1279">
        <v>0</v>
      </c>
      <c r="J84" s="1279">
        <v>0</v>
      </c>
      <c r="K84" s="1279">
        <v>0</v>
      </c>
      <c r="L84" s="1434">
        <v>0</v>
      </c>
      <c r="M84" s="1434"/>
    </row>
    <row r="85" spans="1:13" s="1057" customFormat="1" ht="15.75" thickBot="1">
      <c r="A85" s="1203"/>
      <c r="B85" s="1427"/>
      <c r="C85" s="1427" t="s">
        <v>315</v>
      </c>
      <c r="D85" s="1279">
        <v>0</v>
      </c>
      <c r="E85" s="1279">
        <v>0</v>
      </c>
      <c r="F85" s="1279">
        <v>0</v>
      </c>
      <c r="G85" s="1279">
        <v>0</v>
      </c>
      <c r="H85" s="1279">
        <v>0</v>
      </c>
      <c r="I85" s="1279">
        <v>0</v>
      </c>
      <c r="J85" s="1279">
        <v>0</v>
      </c>
      <c r="K85" s="1279">
        <v>0</v>
      </c>
      <c r="L85" s="1434">
        <v>0</v>
      </c>
      <c r="M85" s="1434"/>
    </row>
    <row r="86" spans="1:13" s="1057" customFormat="1">
      <c r="A86" s="1203"/>
      <c r="B86" s="1788" t="s">
        <v>210</v>
      </c>
      <c r="C86" s="1426" t="s">
        <v>314</v>
      </c>
      <c r="D86" s="1212">
        <v>0.5</v>
      </c>
      <c r="E86" s="1212">
        <v>0.5</v>
      </c>
      <c r="F86" s="1212">
        <v>0.5</v>
      </c>
      <c r="G86" s="1212">
        <v>0.5</v>
      </c>
      <c r="H86" s="1212">
        <v>0.5</v>
      </c>
      <c r="I86" s="1212">
        <v>0.5</v>
      </c>
      <c r="J86" s="1212">
        <v>0.5</v>
      </c>
      <c r="K86" s="1212">
        <v>0.5</v>
      </c>
      <c r="L86" s="1211">
        <v>0.5</v>
      </c>
      <c r="M86" s="1434"/>
    </row>
    <row r="87" spans="1:13" s="1057" customFormat="1">
      <c r="A87" s="1203"/>
      <c r="B87" s="1749"/>
      <c r="C87" s="1427" t="s">
        <v>313</v>
      </c>
      <c r="D87" s="1215">
        <v>0.5</v>
      </c>
      <c r="E87" s="1215">
        <v>0.5</v>
      </c>
      <c r="F87" s="1215">
        <v>0.5</v>
      </c>
      <c r="G87" s="1215">
        <v>0.5</v>
      </c>
      <c r="H87" s="1215">
        <v>0.5</v>
      </c>
      <c r="I87" s="1215">
        <v>0.5</v>
      </c>
      <c r="J87" s="1215">
        <v>0.5</v>
      </c>
      <c r="K87" s="1215">
        <v>0.5</v>
      </c>
      <c r="L87" s="1214">
        <v>0.5</v>
      </c>
      <c r="M87" s="1434"/>
    </row>
    <row r="88" spans="1:13" s="1057" customFormat="1">
      <c r="A88" s="1203"/>
      <c r="B88" s="1749"/>
      <c r="C88" s="1427" t="s">
        <v>312</v>
      </c>
      <c r="D88" s="1215">
        <v>0.5</v>
      </c>
      <c r="E88" s="1215">
        <v>0.5</v>
      </c>
      <c r="F88" s="1215">
        <v>0.5</v>
      </c>
      <c r="G88" s="1215">
        <v>0.5</v>
      </c>
      <c r="H88" s="1215">
        <v>0.5</v>
      </c>
      <c r="I88" s="1215">
        <v>0.5</v>
      </c>
      <c r="J88" s="1215">
        <v>0.5</v>
      </c>
      <c r="K88" s="1215">
        <v>0.5</v>
      </c>
      <c r="L88" s="1214">
        <v>0.5</v>
      </c>
      <c r="M88" s="1434"/>
    </row>
    <row r="89" spans="1:13" s="1057" customFormat="1" ht="15.75" thickBot="1">
      <c r="A89" s="1203"/>
      <c r="B89" s="1789"/>
      <c r="C89" s="1210" t="s">
        <v>311</v>
      </c>
      <c r="D89" s="1277">
        <v>0</v>
      </c>
      <c r="E89" s="1277">
        <v>0</v>
      </c>
      <c r="F89" s="1277">
        <v>0</v>
      </c>
      <c r="G89" s="1277">
        <v>0</v>
      </c>
      <c r="H89" s="1277">
        <v>0</v>
      </c>
      <c r="I89" s="1277">
        <v>0</v>
      </c>
      <c r="J89" s="1277">
        <v>0</v>
      </c>
      <c r="K89" s="1277">
        <v>0</v>
      </c>
      <c r="L89" s="1276">
        <v>0</v>
      </c>
      <c r="M89" s="1434"/>
    </row>
    <row r="90" spans="1:13" s="1057" customFormat="1">
      <c r="A90" s="1203"/>
      <c r="B90" s="1788" t="s">
        <v>310</v>
      </c>
      <c r="C90" s="1427" t="s">
        <v>753</v>
      </c>
      <c r="D90" s="1274">
        <v>-0.25</v>
      </c>
      <c r="E90" s="1274">
        <v>-0.25</v>
      </c>
      <c r="F90" s="1274">
        <v>-0.25</v>
      </c>
      <c r="G90" s="1274">
        <v>-0.25</v>
      </c>
      <c r="H90" s="1274">
        <v>-0.25</v>
      </c>
      <c r="I90" s="1274">
        <v>-0.25</v>
      </c>
      <c r="J90" s="1274">
        <v>-0.25</v>
      </c>
      <c r="K90" s="1274">
        <v>-0.25</v>
      </c>
      <c r="L90" s="1273">
        <v>-0.25</v>
      </c>
      <c r="M90" s="1434"/>
    </row>
    <row r="91" spans="1:13" s="1057" customFormat="1">
      <c r="A91" s="1203"/>
      <c r="B91" s="1749"/>
      <c r="C91" s="1427" t="s">
        <v>754</v>
      </c>
      <c r="D91" s="1274">
        <v>0</v>
      </c>
      <c r="E91" s="1274">
        <v>0</v>
      </c>
      <c r="F91" s="1274">
        <v>0</v>
      </c>
      <c r="G91" s="1274">
        <v>0</v>
      </c>
      <c r="H91" s="1274">
        <v>0</v>
      </c>
      <c r="I91" s="1274">
        <v>0</v>
      </c>
      <c r="J91" s="1274">
        <v>0</v>
      </c>
      <c r="K91" s="1274">
        <v>0</v>
      </c>
      <c r="L91" s="1273">
        <v>0</v>
      </c>
      <c r="M91" s="1434"/>
    </row>
    <row r="92" spans="1:13" s="1057" customFormat="1">
      <c r="A92" s="1203"/>
      <c r="B92" s="1749"/>
      <c r="C92" s="1427" t="s">
        <v>755</v>
      </c>
      <c r="D92" s="1274">
        <v>0</v>
      </c>
      <c r="E92" s="1274">
        <v>0</v>
      </c>
      <c r="F92" s="1274">
        <v>0</v>
      </c>
      <c r="G92" s="1274">
        <v>0</v>
      </c>
      <c r="H92" s="1274">
        <v>0</v>
      </c>
      <c r="I92" s="1274">
        <v>0</v>
      </c>
      <c r="J92" s="1274">
        <v>0</v>
      </c>
      <c r="K92" s="1274">
        <v>0</v>
      </c>
      <c r="L92" s="1273">
        <v>0</v>
      </c>
      <c r="M92" s="1434"/>
    </row>
    <row r="93" spans="1:13" s="1057" customFormat="1">
      <c r="A93" s="1203"/>
      <c r="B93" s="1749"/>
      <c r="C93" s="1427" t="s">
        <v>756</v>
      </c>
      <c r="D93" s="1274">
        <v>0</v>
      </c>
      <c r="E93" s="1274">
        <v>0</v>
      </c>
      <c r="F93" s="1274">
        <v>0</v>
      </c>
      <c r="G93" s="1274">
        <v>0</v>
      </c>
      <c r="H93" s="1274">
        <v>0</v>
      </c>
      <c r="I93" s="1274">
        <v>0</v>
      </c>
      <c r="J93" s="1274">
        <v>0</v>
      </c>
      <c r="K93" s="1274">
        <v>0</v>
      </c>
      <c r="L93" s="1273">
        <v>0</v>
      </c>
      <c r="M93" s="1434"/>
    </row>
    <row r="94" spans="1:13" s="1057" customFormat="1">
      <c r="A94" s="1203"/>
      <c r="B94" s="1749"/>
      <c r="C94" s="1427" t="s">
        <v>757</v>
      </c>
      <c r="D94" s="1274">
        <v>0</v>
      </c>
      <c r="E94" s="1274">
        <v>0</v>
      </c>
      <c r="F94" s="1274">
        <v>0</v>
      </c>
      <c r="G94" s="1274">
        <v>0</v>
      </c>
      <c r="H94" s="1274">
        <v>0</v>
      </c>
      <c r="I94" s="1274">
        <v>0</v>
      </c>
      <c r="J94" s="1274">
        <v>0</v>
      </c>
      <c r="K94" s="1274">
        <v>0</v>
      </c>
      <c r="L94" s="1273">
        <v>0</v>
      </c>
      <c r="M94" s="1434"/>
    </row>
    <row r="95" spans="1:13" s="1057" customFormat="1">
      <c r="A95" s="1203"/>
      <c r="B95" s="1749"/>
      <c r="C95" s="1427" t="s">
        <v>758</v>
      </c>
      <c r="D95" s="1215">
        <v>0</v>
      </c>
      <c r="E95" s="1215">
        <v>0</v>
      </c>
      <c r="F95" s="1215">
        <v>0</v>
      </c>
      <c r="G95" s="1215">
        <v>0</v>
      </c>
      <c r="H95" s="1215">
        <v>0</v>
      </c>
      <c r="I95" s="1215">
        <v>0</v>
      </c>
      <c r="J95" s="1215">
        <v>0</v>
      </c>
      <c r="K95" s="1215">
        <v>0</v>
      </c>
      <c r="L95" s="1214">
        <v>0</v>
      </c>
      <c r="M95" s="1434"/>
    </row>
    <row r="96" spans="1:13" s="1057" customFormat="1">
      <c r="A96" s="1203"/>
      <c r="B96" s="1749"/>
      <c r="C96" s="1427" t="s">
        <v>759</v>
      </c>
      <c r="D96" s="1215">
        <v>0</v>
      </c>
      <c r="E96" s="1215">
        <v>0</v>
      </c>
      <c r="F96" s="1215">
        <v>0</v>
      </c>
      <c r="G96" s="1215">
        <v>0</v>
      </c>
      <c r="H96" s="1215">
        <v>0</v>
      </c>
      <c r="I96" s="1215">
        <v>0</v>
      </c>
      <c r="J96" s="1215">
        <v>0</v>
      </c>
      <c r="K96" s="1215">
        <v>0</v>
      </c>
      <c r="L96" s="1214">
        <v>0</v>
      </c>
      <c r="M96" s="1434"/>
    </row>
    <row r="97" spans="1:13" s="1057" customFormat="1">
      <c r="A97" s="1203"/>
      <c r="B97" s="1749"/>
      <c r="C97" s="1427" t="s">
        <v>760</v>
      </c>
      <c r="D97" s="1215">
        <v>0</v>
      </c>
      <c r="E97" s="1215">
        <v>0</v>
      </c>
      <c r="F97" s="1215">
        <v>0</v>
      </c>
      <c r="G97" s="1215">
        <v>0</v>
      </c>
      <c r="H97" s="1215">
        <v>0</v>
      </c>
      <c r="I97" s="1215">
        <v>0</v>
      </c>
      <c r="J97" s="1215">
        <v>0</v>
      </c>
      <c r="K97" s="1215">
        <v>0</v>
      </c>
      <c r="L97" s="1214">
        <v>0</v>
      </c>
      <c r="M97" s="1475"/>
    </row>
    <row r="98" spans="1:13" s="1057" customFormat="1" ht="15.75" thickBot="1">
      <c r="A98" s="1203"/>
      <c r="B98" s="1789"/>
      <c r="C98" s="1427" t="s">
        <v>761</v>
      </c>
      <c r="D98" s="1293">
        <v>0</v>
      </c>
      <c r="E98" s="1293">
        <v>0</v>
      </c>
      <c r="F98" s="1293">
        <v>0</v>
      </c>
      <c r="G98" s="1293">
        <v>0</v>
      </c>
      <c r="H98" s="1293">
        <v>0</v>
      </c>
      <c r="I98" s="1293">
        <v>0</v>
      </c>
      <c r="J98" s="1293">
        <v>0</v>
      </c>
      <c r="K98" s="1293">
        <v>0</v>
      </c>
      <c r="L98" s="1292">
        <v>0</v>
      </c>
      <c r="M98" s="1476"/>
    </row>
    <row r="99" spans="1:13" s="1057" customFormat="1">
      <c r="A99" s="1203"/>
      <c r="B99" s="1788" t="s">
        <v>45</v>
      </c>
      <c r="C99" s="1426" t="s">
        <v>762</v>
      </c>
      <c r="D99" s="1212">
        <v>-0.25</v>
      </c>
      <c r="E99" s="1212">
        <v>-0.25</v>
      </c>
      <c r="F99" s="1212">
        <v>-0.25</v>
      </c>
      <c r="G99" s="1212">
        <v>-0.375</v>
      </c>
      <c r="H99" s="1212">
        <v>-0.375</v>
      </c>
      <c r="I99" s="1212">
        <v>-0.375</v>
      </c>
      <c r="J99" s="1212">
        <v>-0.5</v>
      </c>
      <c r="K99" s="1212">
        <v>-0.75</v>
      </c>
      <c r="L99" s="1211">
        <v>-0.75</v>
      </c>
      <c r="M99" s="1061"/>
    </row>
    <row r="100" spans="1:13" s="1057" customFormat="1" ht="15.75" thickBot="1">
      <c r="A100" s="1203"/>
      <c r="B100" s="1789"/>
      <c r="C100" s="1210" t="s">
        <v>409</v>
      </c>
      <c r="D100" s="1277">
        <v>-0.75</v>
      </c>
      <c r="E100" s="1277">
        <v>-0.75</v>
      </c>
      <c r="F100" s="1277">
        <v>-0.75</v>
      </c>
      <c r="G100" s="1277">
        <v>-0.75</v>
      </c>
      <c r="H100" s="1277">
        <v>-0.75</v>
      </c>
      <c r="I100" s="1277">
        <v>-0.75</v>
      </c>
      <c r="J100" s="1277">
        <v>-1</v>
      </c>
      <c r="K100" s="1277">
        <v>-1.25</v>
      </c>
      <c r="L100" s="1276">
        <v>-1.25</v>
      </c>
      <c r="M100" s="1061"/>
    </row>
    <row r="101" spans="1:13" s="1057" customFormat="1">
      <c r="A101" s="1203"/>
      <c r="B101" s="1427"/>
      <c r="C101" s="1427" t="s">
        <v>57</v>
      </c>
      <c r="D101" s="1279">
        <v>0</v>
      </c>
      <c r="E101" s="1279">
        <v>0</v>
      </c>
      <c r="F101" s="1279">
        <v>0</v>
      </c>
      <c r="G101" s="1279">
        <v>0</v>
      </c>
      <c r="H101" s="1279">
        <v>0</v>
      </c>
      <c r="I101" s="1279">
        <v>0</v>
      </c>
      <c r="J101" s="1279">
        <v>0</v>
      </c>
      <c r="K101" s="1279">
        <v>0</v>
      </c>
      <c r="L101" s="1434">
        <v>0</v>
      </c>
      <c r="M101" s="1061"/>
    </row>
    <row r="102" spans="1:13" s="1057" customFormat="1">
      <c r="A102" s="1203"/>
      <c r="B102" s="1427" t="s">
        <v>56</v>
      </c>
      <c r="C102" s="1427" t="s">
        <v>301</v>
      </c>
      <c r="D102" s="1279">
        <v>0</v>
      </c>
      <c r="E102" s="1279">
        <v>0</v>
      </c>
      <c r="F102" s="1279">
        <v>0</v>
      </c>
      <c r="G102" s="1279">
        <v>0</v>
      </c>
      <c r="H102" s="1279">
        <v>0</v>
      </c>
      <c r="I102" s="1279">
        <v>0</v>
      </c>
      <c r="J102" s="1279">
        <v>0</v>
      </c>
      <c r="K102" s="1279">
        <v>0</v>
      </c>
      <c r="L102" s="1434">
        <v>0</v>
      </c>
      <c r="M102" s="1061"/>
    </row>
    <row r="103" spans="1:13" s="1057" customFormat="1" ht="15.75" thickBot="1">
      <c r="A103" s="1203"/>
      <c r="B103" s="1427"/>
      <c r="C103" s="1427" t="s">
        <v>300</v>
      </c>
      <c r="D103" s="1279">
        <v>0</v>
      </c>
      <c r="E103" s="1279">
        <v>0</v>
      </c>
      <c r="F103" s="1279">
        <v>0</v>
      </c>
      <c r="G103" s="1279">
        <v>0</v>
      </c>
      <c r="H103" s="1279">
        <v>0</v>
      </c>
      <c r="I103" s="1279">
        <v>0</v>
      </c>
      <c r="J103" s="1279">
        <v>0</v>
      </c>
      <c r="K103" s="1279">
        <v>0</v>
      </c>
      <c r="L103" s="1434">
        <v>0</v>
      </c>
      <c r="M103" s="1061"/>
    </row>
    <row r="104" spans="1:13" s="1057" customFormat="1">
      <c r="A104" s="1203"/>
      <c r="B104" s="1788" t="s">
        <v>60</v>
      </c>
      <c r="C104" s="1426" t="s">
        <v>299</v>
      </c>
      <c r="D104" s="1212">
        <v>0</v>
      </c>
      <c r="E104" s="1212">
        <v>0</v>
      </c>
      <c r="F104" s="1212">
        <v>0</v>
      </c>
      <c r="G104" s="1212">
        <v>0</v>
      </c>
      <c r="H104" s="1212">
        <v>0</v>
      </c>
      <c r="I104" s="1212">
        <v>0</v>
      </c>
      <c r="J104" s="1212">
        <v>0</v>
      </c>
      <c r="K104" s="1212">
        <v>0</v>
      </c>
      <c r="L104" s="1211">
        <v>0</v>
      </c>
      <c r="M104" s="1061"/>
    </row>
    <row r="105" spans="1:13" s="1057" customFormat="1" ht="15.75" thickBot="1">
      <c r="A105" s="1203"/>
      <c r="B105" s="1789"/>
      <c r="C105" s="1210" t="s">
        <v>298</v>
      </c>
      <c r="D105" s="1277">
        <v>-0.5</v>
      </c>
      <c r="E105" s="1277">
        <v>-0.5</v>
      </c>
      <c r="F105" s="1277">
        <v>-0.5</v>
      </c>
      <c r="G105" s="1277">
        <v>-0.5</v>
      </c>
      <c r="H105" s="1277">
        <v>-0.625</v>
      </c>
      <c r="I105" s="1277">
        <v>-0.75</v>
      </c>
      <c r="J105" s="1277">
        <v>-0.75</v>
      </c>
      <c r="K105" s="1277" t="s">
        <v>14</v>
      </c>
      <c r="L105" s="1276" t="s">
        <v>14</v>
      </c>
      <c r="M105" s="1061"/>
    </row>
    <row r="106" spans="1:13" s="1057" customFormat="1">
      <c r="A106" s="1203"/>
      <c r="B106" s="1788" t="s">
        <v>62</v>
      </c>
      <c r="C106" s="1426" t="s">
        <v>297</v>
      </c>
      <c r="D106" s="1212">
        <v>0</v>
      </c>
      <c r="E106" s="1212">
        <v>0</v>
      </c>
      <c r="F106" s="1212">
        <v>0</v>
      </c>
      <c r="G106" s="1212">
        <v>0</v>
      </c>
      <c r="H106" s="1212">
        <v>0</v>
      </c>
      <c r="I106" s="1212">
        <v>0</v>
      </c>
      <c r="J106" s="1212">
        <v>0</v>
      </c>
      <c r="K106" s="1212">
        <v>0</v>
      </c>
      <c r="L106" s="1211">
        <v>0</v>
      </c>
      <c r="M106" s="1061"/>
    </row>
    <row r="107" spans="1:13" s="1057" customFormat="1" ht="15" customHeight="1">
      <c r="A107" s="1203"/>
      <c r="B107" s="1749"/>
      <c r="C107" s="1427" t="s">
        <v>296</v>
      </c>
      <c r="D107" s="1293">
        <v>0</v>
      </c>
      <c r="E107" s="1293">
        <v>0</v>
      </c>
      <c r="F107" s="1293">
        <v>0</v>
      </c>
      <c r="G107" s="1293">
        <v>0</v>
      </c>
      <c r="H107" s="1293">
        <v>0</v>
      </c>
      <c r="I107" s="1293">
        <v>0</v>
      </c>
      <c r="J107" s="1293">
        <v>0</v>
      </c>
      <c r="K107" s="1293">
        <v>0</v>
      </c>
      <c r="L107" s="1292">
        <v>0</v>
      </c>
      <c r="M107" s="1061"/>
    </row>
    <row r="108" spans="1:13" s="1057" customFormat="1" ht="15" customHeight="1">
      <c r="A108" s="1203"/>
      <c r="B108" s="1749"/>
      <c r="C108" s="1427" t="s">
        <v>295</v>
      </c>
      <c r="D108" s="1215">
        <v>0</v>
      </c>
      <c r="E108" s="1215">
        <v>0</v>
      </c>
      <c r="F108" s="1215">
        <v>0</v>
      </c>
      <c r="G108" s="1215">
        <v>0</v>
      </c>
      <c r="H108" s="1215">
        <v>0</v>
      </c>
      <c r="I108" s="1215">
        <v>0</v>
      </c>
      <c r="J108" s="1215">
        <v>0</v>
      </c>
      <c r="K108" s="1215">
        <v>0</v>
      </c>
      <c r="L108" s="1214">
        <v>0</v>
      </c>
      <c r="M108" s="1061"/>
    </row>
    <row r="109" spans="1:13" s="1057" customFormat="1" ht="15" customHeight="1">
      <c r="A109" s="1203"/>
      <c r="B109" s="1749"/>
      <c r="C109" s="1427" t="s">
        <v>294</v>
      </c>
      <c r="D109" s="1215">
        <v>0</v>
      </c>
      <c r="E109" s="1215">
        <v>0</v>
      </c>
      <c r="F109" s="1215">
        <v>0</v>
      </c>
      <c r="G109" s="1215">
        <v>0</v>
      </c>
      <c r="H109" s="1215">
        <v>0</v>
      </c>
      <c r="I109" s="1215">
        <v>0</v>
      </c>
      <c r="J109" s="1215">
        <v>0</v>
      </c>
      <c r="K109" s="1215">
        <v>0</v>
      </c>
      <c r="L109" s="1214">
        <v>0</v>
      </c>
      <c r="M109" s="1061"/>
    </row>
    <row r="110" spans="1:13" s="1057" customFormat="1" ht="15" customHeight="1">
      <c r="A110" s="1203"/>
      <c r="B110" s="1749"/>
      <c r="C110" s="1427" t="s">
        <v>293</v>
      </c>
      <c r="D110" s="1215">
        <v>0</v>
      </c>
      <c r="E110" s="1215">
        <v>0</v>
      </c>
      <c r="F110" s="1215">
        <v>0</v>
      </c>
      <c r="G110" s="1215">
        <v>0</v>
      </c>
      <c r="H110" s="1215">
        <v>0</v>
      </c>
      <c r="I110" s="1215">
        <v>0</v>
      </c>
      <c r="J110" s="1215">
        <v>0</v>
      </c>
      <c r="K110" s="1215">
        <v>0</v>
      </c>
      <c r="L110" s="1214">
        <v>0</v>
      </c>
      <c r="M110" s="1061"/>
    </row>
    <row r="111" spans="1:13" s="1057" customFormat="1" ht="15" customHeight="1">
      <c r="A111" s="1203"/>
      <c r="B111" s="1749"/>
      <c r="C111" s="1427" t="s">
        <v>292</v>
      </c>
      <c r="D111" s="1215">
        <v>0</v>
      </c>
      <c r="E111" s="1215">
        <v>0</v>
      </c>
      <c r="F111" s="1215">
        <v>0</v>
      </c>
      <c r="G111" s="1215">
        <v>0</v>
      </c>
      <c r="H111" s="1215">
        <v>0</v>
      </c>
      <c r="I111" s="1215">
        <v>0</v>
      </c>
      <c r="J111" s="1215">
        <v>0</v>
      </c>
      <c r="K111" s="1215">
        <v>0</v>
      </c>
      <c r="L111" s="1214">
        <v>0</v>
      </c>
      <c r="M111" s="1061"/>
    </row>
    <row r="112" spans="1:13" s="1057" customFormat="1" ht="15" customHeight="1">
      <c r="A112" s="1203"/>
      <c r="B112" s="1749"/>
      <c r="C112" s="1427" t="s">
        <v>291</v>
      </c>
      <c r="D112" s="1215">
        <v>-0.25</v>
      </c>
      <c r="E112" s="1215">
        <v>-0.25</v>
      </c>
      <c r="F112" s="1215">
        <v>-0.25</v>
      </c>
      <c r="G112" s="1215">
        <v>-0.375</v>
      </c>
      <c r="H112" s="1215">
        <v>-0.375</v>
      </c>
      <c r="I112" s="1215">
        <v>-0.5</v>
      </c>
      <c r="J112" s="1215" t="s">
        <v>14</v>
      </c>
      <c r="K112" s="1215" t="s">
        <v>14</v>
      </c>
      <c r="L112" s="1214" t="s">
        <v>14</v>
      </c>
      <c r="M112" s="1061"/>
    </row>
    <row r="113" spans="1:13" s="1057" customFormat="1" ht="15" customHeight="1">
      <c r="A113" s="1203"/>
      <c r="B113" s="1749"/>
      <c r="C113" s="1427" t="s">
        <v>290</v>
      </c>
      <c r="D113" s="1215">
        <v>-2</v>
      </c>
      <c r="E113" s="1215">
        <v>-2</v>
      </c>
      <c r="F113" s="1215">
        <v>-2</v>
      </c>
      <c r="G113" s="1215">
        <v>-2</v>
      </c>
      <c r="H113" s="1215">
        <v>-2</v>
      </c>
      <c r="I113" s="1215">
        <v>-2</v>
      </c>
      <c r="J113" s="1215">
        <v>-2</v>
      </c>
      <c r="K113" s="1215">
        <v>-2</v>
      </c>
      <c r="L113" s="1214">
        <v>-2</v>
      </c>
      <c r="M113" s="1061"/>
    </row>
    <row r="114" spans="1:13" s="1057" customFormat="1" ht="15.75" thickBot="1">
      <c r="A114" s="1203"/>
      <c r="B114" s="1789"/>
      <c r="C114" s="1210" t="s">
        <v>381</v>
      </c>
      <c r="D114" s="1277">
        <v>-0.5</v>
      </c>
      <c r="E114" s="1277">
        <v>-0.5</v>
      </c>
      <c r="F114" s="1277">
        <v>-0.5</v>
      </c>
      <c r="G114" s="1277">
        <v>-0.5</v>
      </c>
      <c r="H114" s="1277">
        <v>-0.5</v>
      </c>
      <c r="I114" s="1277">
        <v>-0.5</v>
      </c>
      <c r="J114" s="1277" t="s">
        <v>14</v>
      </c>
      <c r="K114" s="1277" t="s">
        <v>14</v>
      </c>
      <c r="L114" s="1276" t="s">
        <v>14</v>
      </c>
      <c r="M114" s="1061"/>
    </row>
    <row r="115" spans="1:13" s="1057" customFormat="1">
      <c r="A115" s="1203"/>
      <c r="B115"/>
      <c r="C115"/>
      <c r="D115"/>
      <c r="E115"/>
      <c r="F115"/>
      <c r="G115"/>
      <c r="H115"/>
      <c r="I115"/>
      <c r="M115" s="1061"/>
    </row>
    <row r="116" spans="1:13" s="1057" customFormat="1">
      <c r="A116" s="1203"/>
      <c r="B116"/>
      <c r="C116"/>
      <c r="D116"/>
      <c r="E116"/>
      <c r="F116"/>
      <c r="G116"/>
      <c r="H116"/>
      <c r="I116"/>
      <c r="M116" s="1061"/>
    </row>
    <row r="117" spans="1:13" s="1057" customFormat="1">
      <c r="A117" s="1203"/>
      <c r="B117"/>
      <c r="C117"/>
      <c r="D117"/>
      <c r="E117"/>
      <c r="F117"/>
      <c r="G117"/>
      <c r="H117"/>
      <c r="I117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>
      <c r="A125" s="1203"/>
      <c r="M125" s="1061"/>
    </row>
    <row r="126" spans="1:13" s="1057" customFormat="1">
      <c r="A126" s="1203"/>
      <c r="M126" s="1061"/>
    </row>
    <row r="127" spans="1:13" s="1057" customFormat="1">
      <c r="A127" s="1203"/>
      <c r="M127" s="1061"/>
    </row>
    <row r="128" spans="1:13" s="1057" customFormat="1">
      <c r="A128" s="1203"/>
      <c r="M128" s="1061"/>
    </row>
    <row r="129" spans="1:13" s="1057" customFormat="1">
      <c r="A129" s="1203"/>
      <c r="M129" s="1061"/>
    </row>
    <row r="130" spans="1:13" s="1057" customFormat="1">
      <c r="A130" s="1203"/>
      <c r="M130" s="1061"/>
    </row>
    <row r="131" spans="1:13" s="1057" customFormat="1">
      <c r="A131" s="1203"/>
      <c r="M131" s="1061"/>
    </row>
    <row r="132" spans="1:13" s="1057" customFormat="1">
      <c r="A132" s="1203"/>
      <c r="G132" s="1202"/>
      <c r="H132" s="1201"/>
      <c r="M132" s="1061"/>
    </row>
    <row r="133" spans="1:13" s="1057" customFormat="1" ht="15.75" thickBot="1">
      <c r="A133" s="1203"/>
      <c r="G133" s="1202"/>
      <c r="H133" s="1201"/>
      <c r="M133" s="1061"/>
    </row>
    <row r="134" spans="1:13" s="1057" customFormat="1" ht="15" customHeight="1">
      <c r="A134" s="1066"/>
      <c r="B134" s="1816" t="s">
        <v>192</v>
      </c>
      <c r="C134" s="1816"/>
      <c r="D134" s="1816"/>
      <c r="E134" s="1816"/>
      <c r="F134" s="1816"/>
      <c r="G134" s="1816"/>
      <c r="H134" s="1816"/>
      <c r="I134" s="1816"/>
      <c r="J134" s="1816"/>
      <c r="K134" s="1816"/>
      <c r="L134" s="1816"/>
      <c r="M134" s="1849"/>
    </row>
    <row r="135" spans="1:13" s="1057" customFormat="1">
      <c r="A135" s="1063"/>
      <c r="B135" s="1817"/>
      <c r="C135" s="1817"/>
      <c r="D135" s="1817"/>
      <c r="E135" s="1817"/>
      <c r="F135" s="1817"/>
      <c r="G135" s="1817"/>
      <c r="H135" s="1817"/>
      <c r="I135" s="1817"/>
      <c r="J135" s="1817"/>
      <c r="K135" s="1817"/>
      <c r="L135" s="1817"/>
      <c r="M135" s="1850"/>
    </row>
    <row r="136" spans="1:13" s="1057" customFormat="1">
      <c r="A136" s="1063"/>
      <c r="B136" s="1817"/>
      <c r="C136" s="1817"/>
      <c r="D136" s="1817"/>
      <c r="E136" s="1817"/>
      <c r="F136" s="1817"/>
      <c r="G136" s="1817"/>
      <c r="H136" s="1817"/>
      <c r="I136" s="1817"/>
      <c r="J136" s="1817"/>
      <c r="K136" s="1817"/>
      <c r="L136" s="1817"/>
      <c r="M136" s="1850"/>
    </row>
    <row r="137" spans="1:13" s="1057" customFormat="1" ht="15.75" thickBot="1">
      <c r="A137" s="1060"/>
      <c r="B137" s="1818"/>
      <c r="C137" s="1818"/>
      <c r="D137" s="1818"/>
      <c r="E137" s="1818"/>
      <c r="F137" s="1818"/>
      <c r="G137" s="1818"/>
      <c r="H137" s="1818"/>
      <c r="I137" s="1818"/>
      <c r="J137" s="1818"/>
      <c r="K137" s="1818"/>
      <c r="L137" s="1818"/>
      <c r="M137" s="1851"/>
    </row>
  </sheetData>
  <mergeCells count="17">
    <mergeCell ref="K2:L2"/>
    <mergeCell ref="K3:L3"/>
    <mergeCell ref="A10:M11"/>
    <mergeCell ref="O10:Q10"/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  <mergeCell ref="D57:L57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margins!$N$165:$N$167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margins!$AC$160:$AC$162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margins!$AC$146:$AC$155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margins!$AC$142:$AC$144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margins!$AC$137:$AC$140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margins!$AC$133:$AC$135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margins!$AC$122:$AC$131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margins!$AC$116:$AC$119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margins!$AC$113:$AC$115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margins!$AC$110:$AC$111</xm:f>
          </x14:formula1>
          <xm:sqref>P19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74"/>
  <sheetViews>
    <sheetView showGridLines="0" topLeftCell="A92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80"/>
      <c r="G3" s="5"/>
      <c r="I3" s="6" t="s">
        <v>0</v>
      </c>
    </row>
    <row r="4" spans="3:20" ht="21.4" customHeight="1">
      <c r="C4" s="7"/>
      <c r="D4" s="8"/>
      <c r="I4" s="6" t="s">
        <v>683</v>
      </c>
      <c r="Q4" s="5"/>
    </row>
    <row r="5" spans="3:20" ht="19.5">
      <c r="C5" s="9"/>
      <c r="I5" s="31" t="s">
        <v>1</v>
      </c>
    </row>
    <row r="6" spans="3:20" ht="15.75">
      <c r="C6" s="1900" t="s">
        <v>340</v>
      </c>
      <c r="D6" s="1900"/>
      <c r="G6" s="1"/>
      <c r="I6" s="1"/>
    </row>
    <row r="7" spans="3:20" ht="15.75" thickBot="1">
      <c r="C7" s="10" t="s">
        <v>3</v>
      </c>
      <c r="D7" s="11" t="s">
        <v>335</v>
      </c>
      <c r="F7" s="580" t="s">
        <v>2</v>
      </c>
      <c r="G7" s="28"/>
      <c r="H7" s="1"/>
      <c r="I7" s="36" t="s">
        <v>334</v>
      </c>
      <c r="J7"/>
      <c r="K7"/>
      <c r="L7"/>
      <c r="M7"/>
    </row>
    <row r="8" spans="3:20" ht="15.75" thickBot="1">
      <c r="C8" s="122">
        <f>margins!BN3</f>
        <v>13.375</v>
      </c>
      <c r="D8" s="123">
        <v>110.75</v>
      </c>
      <c r="E8" s="15"/>
      <c r="F8" s="12" t="s">
        <v>6</v>
      </c>
      <c r="G8" s="13">
        <v>100</v>
      </c>
      <c r="H8" s="1"/>
      <c r="I8" s="579" t="s">
        <v>374</v>
      </c>
      <c r="J8" s="578"/>
      <c r="K8" s="578"/>
      <c r="L8" s="578"/>
      <c r="M8" s="577"/>
      <c r="O8"/>
      <c r="R8" s="477" t="s">
        <v>456</v>
      </c>
      <c r="S8" s="478"/>
      <c r="T8" s="1577">
        <v>45978.399699074071</v>
      </c>
    </row>
    <row r="9" spans="3:20" ht="15.75" thickBot="1">
      <c r="C9" s="122">
        <f>margins!BN4</f>
        <v>13.25</v>
      </c>
      <c r="D9" s="123">
        <v>110.625</v>
      </c>
      <c r="E9" s="18"/>
      <c r="F9" s="16" t="s">
        <v>8</v>
      </c>
      <c r="G9" s="576">
        <v>0</v>
      </c>
      <c r="H9" s="1"/>
      <c r="I9" s="91" t="s">
        <v>375</v>
      </c>
      <c r="J9"/>
      <c r="K9"/>
      <c r="L9"/>
      <c r="M9" s="575"/>
      <c r="O9"/>
    </row>
    <row r="10" spans="3:20" ht="15.75" thickBot="1">
      <c r="C10" s="122">
        <f>margins!BN5</f>
        <v>13.125</v>
      </c>
      <c r="D10" s="123">
        <v>110.5</v>
      </c>
      <c r="E10" s="18"/>
      <c r="F10" s="19" t="s">
        <v>10</v>
      </c>
      <c r="G10" s="576">
        <v>-0.375</v>
      </c>
      <c r="H10" s="1"/>
      <c r="I10" s="91" t="s">
        <v>333</v>
      </c>
      <c r="J10"/>
      <c r="K10"/>
      <c r="L10"/>
      <c r="M10" s="575"/>
      <c r="R10" s="494" t="s">
        <v>207</v>
      </c>
      <c r="S10" s="495" t="s">
        <v>208</v>
      </c>
      <c r="T10" s="495" t="s">
        <v>209</v>
      </c>
    </row>
    <row r="11" spans="3:20">
      <c r="C11" s="122">
        <f>margins!BN6</f>
        <v>13</v>
      </c>
      <c r="D11" s="123">
        <v>110.375</v>
      </c>
      <c r="E11" s="18"/>
      <c r="F11" s="721"/>
      <c r="G11" s="722"/>
      <c r="H11" s="1"/>
      <c r="I11" s="574" t="s">
        <v>332</v>
      </c>
      <c r="J11" s="573"/>
      <c r="K11" s="573"/>
      <c r="L11" s="573"/>
      <c r="M11" s="572"/>
    </row>
    <row r="12" spans="3:20" ht="15.75" thickBot="1">
      <c r="C12" s="122">
        <f>margins!BN7</f>
        <v>12.875</v>
      </c>
      <c r="D12" s="123">
        <v>110.25</v>
      </c>
      <c r="F12" s="571" t="s">
        <v>30</v>
      </c>
      <c r="G12" s="570"/>
      <c r="H12" s="1"/>
      <c r="I12" s="1929" t="s">
        <v>491</v>
      </c>
      <c r="J12" s="1930"/>
      <c r="K12" s="1930"/>
      <c r="L12" s="1930"/>
      <c r="M12" s="1930"/>
    </row>
    <row r="13" spans="3:20">
      <c r="C13" s="122">
        <f>margins!BN8</f>
        <v>12.75</v>
      </c>
      <c r="D13" s="123">
        <v>110.125</v>
      </c>
      <c r="F13" s="32" t="s">
        <v>84</v>
      </c>
      <c r="G13" s="34">
        <v>-0.25</v>
      </c>
      <c r="H13" s="1"/>
      <c r="I13" s="864"/>
      <c r="J13" s="866"/>
      <c r="K13" s="866"/>
      <c r="L13" s="866"/>
      <c r="M13" s="867"/>
      <c r="R13" s="658" t="s">
        <v>211</v>
      </c>
      <c r="S13" s="484">
        <v>13.75</v>
      </c>
      <c r="T13" s="709" t="str">
        <f>_xlfn.IFNA(VLOOKUP(S13,$C$8:$D$48,2,FALSE), "NA")</f>
        <v>NA</v>
      </c>
    </row>
    <row r="14" spans="3:20">
      <c r="C14" s="122">
        <f>margins!BN9</f>
        <v>12.625</v>
      </c>
      <c r="D14" s="123">
        <v>110</v>
      </c>
      <c r="F14" s="32" t="s">
        <v>85</v>
      </c>
      <c r="G14" s="34">
        <v>-0.32500000000000001</v>
      </c>
      <c r="H14" s="1"/>
      <c r="I14" s="868"/>
      <c r="J14"/>
      <c r="K14"/>
      <c r="L14"/>
      <c r="M14" s="575"/>
      <c r="R14" s="660" t="s">
        <v>386</v>
      </c>
      <c r="S14" s="485" t="s">
        <v>15</v>
      </c>
      <c r="T14" s="489"/>
    </row>
    <row r="15" spans="3:20" ht="15" customHeight="1">
      <c r="C15" s="122">
        <f>margins!BN10</f>
        <v>12.5</v>
      </c>
      <c r="D15" s="123">
        <v>109.875</v>
      </c>
      <c r="F15" s="32" t="s">
        <v>86</v>
      </c>
      <c r="G15" s="34">
        <v>-0.55000000000000004</v>
      </c>
      <c r="H15" s="1"/>
      <c r="I15" s="868"/>
      <c r="J15"/>
      <c r="K15"/>
      <c r="L15"/>
      <c r="M15" s="575"/>
      <c r="O15"/>
      <c r="R15" s="660" t="s">
        <v>212</v>
      </c>
      <c r="S15" s="485" t="s">
        <v>321</v>
      </c>
      <c r="T15" s="489"/>
    </row>
    <row r="16" spans="3:20" ht="15" customHeight="1">
      <c r="C16" s="122">
        <f>margins!BN11</f>
        <v>12.375</v>
      </c>
      <c r="D16" s="123">
        <v>109.75</v>
      </c>
      <c r="E16" s="18"/>
      <c r="F16" s="32" t="s">
        <v>87</v>
      </c>
      <c r="G16" s="34">
        <v>-0.65</v>
      </c>
      <c r="H16" s="1"/>
      <c r="I16" s="91"/>
      <c r="J16"/>
      <c r="K16"/>
      <c r="L16"/>
      <c r="M16" s="575"/>
      <c r="O16"/>
      <c r="R16" s="660" t="s">
        <v>210</v>
      </c>
      <c r="S16" s="485" t="s">
        <v>311</v>
      </c>
      <c r="T16" s="489">
        <f>IF(S16="Choose a Selection",0,(INDEX($H$22:$N$74,MATCH(S16,$G$22:$G$74,0),MATCH($S$14,$H$21:$N$21,0),1)))</f>
        <v>0</v>
      </c>
    </row>
    <row r="17" spans="3:20" ht="15" customHeight="1">
      <c r="C17" s="122">
        <f>margins!BN12</f>
        <v>12.25</v>
      </c>
      <c r="D17" s="123">
        <v>109.625</v>
      </c>
      <c r="E17" s="18"/>
      <c r="F17" s="569" t="s">
        <v>330</v>
      </c>
      <c r="G17" s="33"/>
      <c r="H17" s="1"/>
      <c r="I17" s="574"/>
      <c r="J17" s="573"/>
      <c r="K17" s="573"/>
      <c r="L17" s="573"/>
      <c r="M17" s="572"/>
      <c r="O17"/>
      <c r="R17" s="660" t="s">
        <v>4</v>
      </c>
      <c r="S17" s="485" t="s">
        <v>203</v>
      </c>
      <c r="T17" s="489">
        <f>IF(S17="Full Doc",INDEX($H$22:$N$29,MATCH(S15,G22:G29,0),MATCH(S14,$H$21:$N$21,0),1),0)</f>
        <v>0</v>
      </c>
    </row>
    <row r="18" spans="3:20" ht="15" customHeight="1">
      <c r="C18" s="122">
        <f>margins!BN13</f>
        <v>12.125</v>
      </c>
      <c r="D18" s="123">
        <v>109.5</v>
      </c>
      <c r="E18" s="18"/>
      <c r="H18" s="1"/>
      <c r="I18" s="1"/>
      <c r="M18"/>
      <c r="O18"/>
      <c r="R18" s="660" t="s">
        <v>557</v>
      </c>
      <c r="S18" s="485" t="s">
        <v>203</v>
      </c>
      <c r="T18" s="489">
        <f>IF(S18="Choose a Selection",0,(INDEX($H$30:$N$37,MATCH($S$15,G30:G37,0),MATCH($S$14,$H$21:$N$21,0),1)))</f>
        <v>0</v>
      </c>
    </row>
    <row r="19" spans="3:20" ht="15" customHeight="1">
      <c r="C19" s="122">
        <f>margins!BN14</f>
        <v>12</v>
      </c>
      <c r="D19" s="123">
        <v>109.375</v>
      </c>
      <c r="E19" s="18"/>
      <c r="H19" s="1"/>
      <c r="I19" s="1"/>
      <c r="M19"/>
      <c r="O19"/>
      <c r="R19" s="660" t="s">
        <v>558</v>
      </c>
      <c r="S19" s="485" t="s">
        <v>203</v>
      </c>
      <c r="T19" s="489">
        <f>IF(S19="Choose a Selection",0,(INDEX($H$46:$N$48,MATCH(S19,G46:G48,0),MATCH($S$14,$H$21:$N$21,0),1)))</f>
        <v>0</v>
      </c>
    </row>
    <row r="20" spans="3:20" ht="15" customHeight="1">
      <c r="C20" s="122">
        <f>margins!BN15</f>
        <v>11.875</v>
      </c>
      <c r="D20" s="123">
        <v>109.25</v>
      </c>
      <c r="E20" s="18"/>
      <c r="F20" s="1912" t="s">
        <v>244</v>
      </c>
      <c r="G20" s="1913"/>
      <c r="H20" s="1937" t="s">
        <v>329</v>
      </c>
      <c r="I20" s="1937"/>
      <c r="J20" s="1937"/>
      <c r="K20" s="1937"/>
      <c r="L20" s="1937"/>
      <c r="M20" s="1937"/>
      <c r="N20" s="1938"/>
      <c r="O20" s="36"/>
      <c r="R20" s="660" t="s">
        <v>559</v>
      </c>
      <c r="S20" s="485" t="s">
        <v>203</v>
      </c>
      <c r="T20" s="489">
        <f>IF(S20="Choose a Selection",0,(INDEX($H$38:$N$45,MATCH($S$15,G38:G45,0),MATCH($S$14,$H$21:$N$21,0),1)))</f>
        <v>0</v>
      </c>
    </row>
    <row r="21" spans="3:20" ht="15" customHeight="1">
      <c r="C21" s="122">
        <f>margins!BN16</f>
        <v>11.75</v>
      </c>
      <c r="D21" s="123">
        <v>109.125</v>
      </c>
      <c r="E21" s="18"/>
      <c r="F21" s="101"/>
      <c r="G21" s="102"/>
      <c r="H21" s="102" t="s">
        <v>15</v>
      </c>
      <c r="I21" s="102" t="s">
        <v>16</v>
      </c>
      <c r="J21" s="102" t="s">
        <v>17</v>
      </c>
      <c r="K21" s="102" t="s">
        <v>18</v>
      </c>
      <c r="L21" s="102" t="s">
        <v>19</v>
      </c>
      <c r="M21" s="102" t="s">
        <v>20</v>
      </c>
      <c r="N21" s="29" t="s">
        <v>21</v>
      </c>
      <c r="R21" s="660" t="s">
        <v>310</v>
      </c>
      <c r="S21" s="485" t="s">
        <v>203</v>
      </c>
      <c r="T21" s="489">
        <f>IF(S21="Choose a Selection",0,(INDEX($H$22:$N$74,MATCH(S21,$G$22:$G$74,0),MATCH($S$14,$H$21:$N$21,0),1)))</f>
        <v>0</v>
      </c>
    </row>
    <row r="22" spans="3:20" ht="15" customHeight="1">
      <c r="C22" s="122">
        <f>margins!BN17</f>
        <v>11.625</v>
      </c>
      <c r="D22" s="123">
        <v>109</v>
      </c>
      <c r="E22" s="18"/>
      <c r="F22" s="656" t="s">
        <v>555</v>
      </c>
      <c r="G22" s="655" t="s">
        <v>326</v>
      </c>
      <c r="H22" s="1419">
        <v>1.875</v>
      </c>
      <c r="I22" s="1420">
        <v>1.875</v>
      </c>
      <c r="J22" s="1421">
        <v>1.625</v>
      </c>
      <c r="K22" s="1421">
        <v>1.375</v>
      </c>
      <c r="L22" s="1421">
        <v>1.125</v>
      </c>
      <c r="M22" s="1421">
        <v>0.25</v>
      </c>
      <c r="N22" s="1422">
        <v>-0.625</v>
      </c>
      <c r="R22" s="660" t="s">
        <v>45</v>
      </c>
      <c r="S22" s="485" t="s">
        <v>203</v>
      </c>
      <c r="T22" s="489">
        <f>IF(S22="Choose a Selection",0,(INDEX($H$22:$N$74,MATCH(S22,$G$22:$G$74,0),MATCH($S$14,$H$21:$N$21,0),1)))</f>
        <v>0</v>
      </c>
    </row>
    <row r="23" spans="3:20" ht="15" customHeight="1">
      <c r="C23" s="122">
        <f>margins!BN18</f>
        <v>11.5</v>
      </c>
      <c r="D23" s="123">
        <v>108.875</v>
      </c>
      <c r="E23" s="18"/>
      <c r="F23" s="654" t="s">
        <v>556</v>
      </c>
      <c r="G23" s="642" t="s">
        <v>325</v>
      </c>
      <c r="H23" s="641">
        <v>1.875</v>
      </c>
      <c r="I23" s="640">
        <v>1.875</v>
      </c>
      <c r="J23" s="639">
        <v>1.625</v>
      </c>
      <c r="K23" s="639">
        <v>1.375</v>
      </c>
      <c r="L23" s="639">
        <v>1.125</v>
      </c>
      <c r="M23" s="639">
        <v>0.125</v>
      </c>
      <c r="N23" s="653">
        <v>-0.75</v>
      </c>
      <c r="R23" s="660" t="s">
        <v>339</v>
      </c>
      <c r="S23" s="485" t="s">
        <v>203</v>
      </c>
      <c r="T23" s="489">
        <f>IF(S23="Choose a Selection",0,(INDEX($H$22:$N$74,MATCH(S23,$G$22:$G$74,0),MATCH($S$14,$H$21:$N$21,0),1)))</f>
        <v>0</v>
      </c>
    </row>
    <row r="24" spans="3:20" ht="15" customHeight="1">
      <c r="C24" s="122">
        <f>margins!BN19</f>
        <v>11.375</v>
      </c>
      <c r="D24" s="123">
        <v>108.75</v>
      </c>
      <c r="E24" s="18"/>
      <c r="F24" s="652"/>
      <c r="G24" s="638" t="s">
        <v>324</v>
      </c>
      <c r="H24" s="637">
        <v>1.375</v>
      </c>
      <c r="I24" s="636">
        <v>1.375</v>
      </c>
      <c r="J24" s="636">
        <v>1.125</v>
      </c>
      <c r="K24" s="636">
        <v>0.875</v>
      </c>
      <c r="L24" s="636">
        <v>0.625</v>
      </c>
      <c r="M24" s="636">
        <v>-0.5</v>
      </c>
      <c r="N24" s="647">
        <v>-1.5</v>
      </c>
      <c r="R24" s="660" t="s">
        <v>62</v>
      </c>
      <c r="S24" s="485" t="s">
        <v>203</v>
      </c>
      <c r="T24" s="489">
        <f>IF(S24="Choose a Selection",0,(INDEX($H$22:$N$74,MATCH(S24,$G$22:$G$74,0),MATCH($S$14,$H$21:$N$21,0),1)))</f>
        <v>0</v>
      </c>
    </row>
    <row r="25" spans="3:20" ht="15" customHeight="1">
      <c r="C25" s="122">
        <f>margins!BN20</f>
        <v>11.25</v>
      </c>
      <c r="D25" s="123">
        <v>108.625</v>
      </c>
      <c r="E25" s="18"/>
      <c r="F25" s="651"/>
      <c r="G25" s="638" t="s">
        <v>323</v>
      </c>
      <c r="H25" s="637">
        <v>1</v>
      </c>
      <c r="I25" s="636">
        <v>1</v>
      </c>
      <c r="J25" s="636">
        <v>0.625</v>
      </c>
      <c r="K25" s="636">
        <v>0.375</v>
      </c>
      <c r="L25" s="636">
        <v>0.125</v>
      </c>
      <c r="M25" s="636">
        <v>-1.125</v>
      </c>
      <c r="N25" s="647">
        <v>-2.75</v>
      </c>
      <c r="R25" s="660" t="s">
        <v>217</v>
      </c>
      <c r="S25" s="485">
        <v>15</v>
      </c>
      <c r="T25" s="489">
        <f>IF(S25=15,0,G10)</f>
        <v>0</v>
      </c>
    </row>
    <row r="26" spans="3:20" ht="15" customHeight="1" thickBot="1">
      <c r="C26" s="122">
        <f>margins!BN21</f>
        <v>11.125</v>
      </c>
      <c r="D26" s="123">
        <v>108.375</v>
      </c>
      <c r="E26" s="18"/>
      <c r="F26" s="650"/>
      <c r="G26" s="638" t="s">
        <v>322</v>
      </c>
      <c r="H26" s="637">
        <v>0.125</v>
      </c>
      <c r="I26" s="636">
        <v>0.125</v>
      </c>
      <c r="J26" s="636">
        <v>-0.375</v>
      </c>
      <c r="K26" s="636">
        <v>-0.75</v>
      </c>
      <c r="L26" s="636">
        <v>-1</v>
      </c>
      <c r="M26" s="636">
        <v>-2</v>
      </c>
      <c r="N26" s="647">
        <v>-4</v>
      </c>
      <c r="R26" s="660" t="s">
        <v>218</v>
      </c>
      <c r="S26" s="486"/>
      <c r="T26" s="490">
        <f>T16+T17+T18+T19+T21+T22+T23+T24+T25+T20</f>
        <v>0</v>
      </c>
    </row>
    <row r="27" spans="3:20" ht="15" customHeight="1" thickBot="1">
      <c r="C27" s="122">
        <f>margins!BN22</f>
        <v>11</v>
      </c>
      <c r="D27" s="123">
        <v>108.125</v>
      </c>
      <c r="E27" s="18"/>
      <c r="F27" s="649"/>
      <c r="G27" s="638" t="s">
        <v>321</v>
      </c>
      <c r="H27" s="637">
        <v>-0.75</v>
      </c>
      <c r="I27" s="636">
        <v>-0.75</v>
      </c>
      <c r="J27" s="636">
        <v>-1.375</v>
      </c>
      <c r="K27" s="636">
        <v>-1.875</v>
      </c>
      <c r="L27" s="636">
        <v>-2.375</v>
      </c>
      <c r="M27" s="636">
        <v>-3.125</v>
      </c>
      <c r="N27" s="647">
        <v>-5.5</v>
      </c>
      <c r="R27" s="473"/>
      <c r="S27" s="474"/>
      <c r="T27" s="483"/>
    </row>
    <row r="28" spans="3:20" ht="15" customHeight="1" thickBot="1">
      <c r="C28" s="122">
        <f>margins!BN23</f>
        <v>10.875</v>
      </c>
      <c r="D28" s="123">
        <v>107.875</v>
      </c>
      <c r="E28" s="18"/>
      <c r="F28" s="649"/>
      <c r="G28" s="638" t="s">
        <v>320</v>
      </c>
      <c r="H28" s="637">
        <v>-3</v>
      </c>
      <c r="I28" s="636">
        <v>-3</v>
      </c>
      <c r="J28" s="636">
        <v>-3.75</v>
      </c>
      <c r="K28" s="636">
        <v>-4.125</v>
      </c>
      <c r="L28" s="636">
        <v>-4.75</v>
      </c>
      <c r="M28" s="636">
        <v>-5.75</v>
      </c>
      <c r="N28" s="647" t="s">
        <v>14</v>
      </c>
      <c r="R28" s="475" t="s">
        <v>219</v>
      </c>
      <c r="S28" s="476"/>
      <c r="T28" s="663" t="str">
        <f>IFERROR(IF(ISNUMBER(MATCH("NA", T16:T25, 0)), "NA",MIN(G8,(T13+T26))), "NA")</f>
        <v>NA</v>
      </c>
    </row>
    <row r="29" spans="3:20" ht="15" customHeight="1" thickBot="1">
      <c r="C29" s="122">
        <f>margins!BN24</f>
        <v>10.75</v>
      </c>
      <c r="D29" s="123">
        <v>107.625</v>
      </c>
      <c r="E29" s="18"/>
      <c r="F29" s="648"/>
      <c r="G29" s="638" t="s">
        <v>319</v>
      </c>
      <c r="H29" s="637">
        <v>-4.25</v>
      </c>
      <c r="I29" s="636">
        <v>-4.375</v>
      </c>
      <c r="J29" s="636">
        <v>-4.875</v>
      </c>
      <c r="K29" s="636">
        <v>-5.5</v>
      </c>
      <c r="L29" s="636">
        <v>-6</v>
      </c>
      <c r="M29" s="636" t="s">
        <v>14</v>
      </c>
      <c r="N29" s="647" t="s">
        <v>14</v>
      </c>
      <c r="R29" s="470"/>
      <c r="S29" s="470"/>
      <c r="T29" s="470"/>
    </row>
    <row r="30" spans="3:20" ht="15" customHeight="1" thickBot="1">
      <c r="C30" s="122">
        <f>margins!BN25</f>
        <v>10.625</v>
      </c>
      <c r="D30" s="123">
        <v>107.375</v>
      </c>
      <c r="E30" s="18"/>
      <c r="F30" s="557" t="s">
        <v>327</v>
      </c>
      <c r="G30" s="646" t="s">
        <v>326</v>
      </c>
      <c r="H30" s="645">
        <v>0.875</v>
      </c>
      <c r="I30" s="644">
        <v>0.875</v>
      </c>
      <c r="J30" s="643">
        <v>0.625</v>
      </c>
      <c r="K30" s="643">
        <v>0.25</v>
      </c>
      <c r="L30" s="643">
        <v>0</v>
      </c>
      <c r="M30" s="643">
        <v>-1</v>
      </c>
      <c r="N30" s="1411">
        <v>-1.875</v>
      </c>
      <c r="R30" s="846" t="s">
        <v>485</v>
      </c>
      <c r="S30" s="847"/>
      <c r="T30" s="848"/>
    </row>
    <row r="31" spans="3:20" ht="15" customHeight="1">
      <c r="C31" s="122">
        <f>margins!BN26</f>
        <v>10.5</v>
      </c>
      <c r="D31" s="123">
        <v>107.125</v>
      </c>
      <c r="E31" s="18"/>
      <c r="F31" s="654">
        <v>1099</v>
      </c>
      <c r="G31" s="642" t="s">
        <v>325</v>
      </c>
      <c r="H31" s="641">
        <v>0.875</v>
      </c>
      <c r="I31" s="640">
        <v>0.875</v>
      </c>
      <c r="J31" s="639">
        <v>0.625</v>
      </c>
      <c r="K31" s="639">
        <v>0.25</v>
      </c>
      <c r="L31" s="639">
        <v>0</v>
      </c>
      <c r="M31" s="639">
        <v>-1.125</v>
      </c>
      <c r="N31" s="653">
        <v>-2</v>
      </c>
    </row>
    <row r="32" spans="3:20" ht="15" customHeight="1">
      <c r="C32" s="122">
        <f>margins!BN27</f>
        <v>10.375</v>
      </c>
      <c r="D32" s="123">
        <v>106.875</v>
      </c>
      <c r="E32" s="18"/>
      <c r="F32" s="557"/>
      <c r="G32" s="638" t="s">
        <v>324</v>
      </c>
      <c r="H32" s="637">
        <v>0.375</v>
      </c>
      <c r="I32" s="636">
        <v>0.375</v>
      </c>
      <c r="J32" s="636">
        <v>0.125</v>
      </c>
      <c r="K32" s="636">
        <v>-0.25</v>
      </c>
      <c r="L32" s="636">
        <v>-0.5</v>
      </c>
      <c r="M32" s="636">
        <v>-1.75</v>
      </c>
      <c r="N32" s="647">
        <v>-2.75</v>
      </c>
    </row>
    <row r="33" spans="3:14">
      <c r="C33" s="122">
        <f>margins!BN28</f>
        <v>10.25</v>
      </c>
      <c r="D33" s="123">
        <v>106.625</v>
      </c>
      <c r="E33" s="18"/>
      <c r="F33" s="557"/>
      <c r="G33" s="638" t="s">
        <v>323</v>
      </c>
      <c r="H33" s="637">
        <v>0</v>
      </c>
      <c r="I33" s="636">
        <v>0</v>
      </c>
      <c r="J33" s="636">
        <v>-0.375</v>
      </c>
      <c r="K33" s="636">
        <v>-0.75</v>
      </c>
      <c r="L33" s="636">
        <v>-1</v>
      </c>
      <c r="M33" s="636">
        <v>-2.375</v>
      </c>
      <c r="N33" s="647">
        <v>-4</v>
      </c>
    </row>
    <row r="34" spans="3:14">
      <c r="C34" s="122">
        <f>margins!BN29</f>
        <v>10.125</v>
      </c>
      <c r="D34" s="123">
        <v>106.375</v>
      </c>
      <c r="E34" s="18"/>
      <c r="F34" s="557"/>
      <c r="G34" s="638" t="s">
        <v>322</v>
      </c>
      <c r="H34" s="637">
        <v>-0.625</v>
      </c>
      <c r="I34" s="636">
        <v>-0.625</v>
      </c>
      <c r="J34" s="636">
        <v>-1.125</v>
      </c>
      <c r="K34" s="636">
        <v>-1.625</v>
      </c>
      <c r="L34" s="636">
        <v>-1.875</v>
      </c>
      <c r="M34" s="636">
        <v>-3</v>
      </c>
      <c r="N34" s="647">
        <v>-5.125</v>
      </c>
    </row>
    <row r="35" spans="3:14">
      <c r="C35" s="122">
        <f>margins!BN30</f>
        <v>10</v>
      </c>
      <c r="D35" s="123">
        <v>106</v>
      </c>
      <c r="E35" s="18"/>
      <c r="F35" s="557"/>
      <c r="G35" s="638" t="s">
        <v>321</v>
      </c>
      <c r="H35" s="637">
        <v>-1.625</v>
      </c>
      <c r="I35" s="636">
        <v>-1.625</v>
      </c>
      <c r="J35" s="636">
        <v>-2.25</v>
      </c>
      <c r="K35" s="636">
        <v>-2.875</v>
      </c>
      <c r="L35" s="636">
        <v>-3.375</v>
      </c>
      <c r="M35" s="636">
        <v>-4.25</v>
      </c>
      <c r="N35" s="635" t="s">
        <v>14</v>
      </c>
    </row>
    <row r="36" spans="3:14">
      <c r="C36" s="122">
        <f>margins!BN31</f>
        <v>9.875</v>
      </c>
      <c r="D36" s="123">
        <v>105.625</v>
      </c>
      <c r="E36" s="18"/>
      <c r="F36" s="557"/>
      <c r="G36" s="638" t="s">
        <v>320</v>
      </c>
      <c r="H36" s="637">
        <v>-4</v>
      </c>
      <c r="I36" s="636">
        <v>-4</v>
      </c>
      <c r="J36" s="636">
        <v>-4.75</v>
      </c>
      <c r="K36" s="636">
        <v>-5.25</v>
      </c>
      <c r="L36" s="636">
        <v>-5.875</v>
      </c>
      <c r="M36" s="636" t="s">
        <v>14</v>
      </c>
      <c r="N36" s="635" t="s">
        <v>14</v>
      </c>
    </row>
    <row r="37" spans="3:14">
      <c r="C37" s="122">
        <f>margins!BN32</f>
        <v>9.75</v>
      </c>
      <c r="D37" s="123">
        <v>105.25</v>
      </c>
      <c r="F37" s="980"/>
      <c r="G37" s="638" t="s">
        <v>319</v>
      </c>
      <c r="H37" s="637">
        <v>-5.75</v>
      </c>
      <c r="I37" s="636">
        <v>-5.875</v>
      </c>
      <c r="J37" s="636">
        <v>-6.375</v>
      </c>
      <c r="K37" s="636" t="s">
        <v>14</v>
      </c>
      <c r="L37" s="636" t="s">
        <v>14</v>
      </c>
      <c r="M37" s="636" t="s">
        <v>14</v>
      </c>
      <c r="N37" s="635" t="s">
        <v>14</v>
      </c>
    </row>
    <row r="38" spans="3:14">
      <c r="C38" s="122">
        <f>margins!BN33</f>
        <v>9.625</v>
      </c>
      <c r="D38" s="123">
        <v>104.875</v>
      </c>
      <c r="F38" s="557" t="s">
        <v>553</v>
      </c>
      <c r="G38" s="646" t="s">
        <v>326</v>
      </c>
      <c r="H38" s="645">
        <v>-0.5</v>
      </c>
      <c r="I38" s="644">
        <v>-0.5</v>
      </c>
      <c r="J38" s="643">
        <v>-0.75</v>
      </c>
      <c r="K38" s="643">
        <v>-1.375</v>
      </c>
      <c r="L38" s="643">
        <v>-1.625</v>
      </c>
      <c r="M38" s="643">
        <v>-2.75</v>
      </c>
      <c r="N38" s="1411">
        <v>-3.75</v>
      </c>
    </row>
    <row r="39" spans="3:14">
      <c r="C39" s="122">
        <f>margins!BN34</f>
        <v>9.5</v>
      </c>
      <c r="D39" s="123">
        <v>104.5</v>
      </c>
      <c r="F39" s="654" t="s">
        <v>89</v>
      </c>
      <c r="G39" s="642" t="s">
        <v>325</v>
      </c>
      <c r="H39" s="641">
        <v>-0.5</v>
      </c>
      <c r="I39" s="640">
        <v>-0.5</v>
      </c>
      <c r="J39" s="639">
        <v>-0.75</v>
      </c>
      <c r="K39" s="639">
        <v>-1.375</v>
      </c>
      <c r="L39" s="639">
        <v>-1.625</v>
      </c>
      <c r="M39" s="639">
        <v>-2.875</v>
      </c>
      <c r="N39" s="653">
        <v>-4</v>
      </c>
    </row>
    <row r="40" spans="3:14">
      <c r="C40" s="122">
        <f>margins!BN35</f>
        <v>9.375</v>
      </c>
      <c r="D40" s="123">
        <v>104.125</v>
      </c>
      <c r="F40" s="557"/>
      <c r="G40" s="638" t="s">
        <v>324</v>
      </c>
      <c r="H40" s="637">
        <v>-1</v>
      </c>
      <c r="I40" s="636">
        <v>-1</v>
      </c>
      <c r="J40" s="636">
        <v>-1.25</v>
      </c>
      <c r="K40" s="636">
        <v>-1.875</v>
      </c>
      <c r="L40" s="636">
        <v>-2.125</v>
      </c>
      <c r="M40" s="636">
        <v>-3.5</v>
      </c>
      <c r="N40" s="647">
        <v>-4.75</v>
      </c>
    </row>
    <row r="41" spans="3:14">
      <c r="C41" s="122">
        <f>margins!BN36</f>
        <v>9.25</v>
      </c>
      <c r="D41" s="123">
        <v>103.625</v>
      </c>
      <c r="F41" s="557"/>
      <c r="G41" s="638" t="s">
        <v>323</v>
      </c>
      <c r="H41" s="637">
        <v>-1.375</v>
      </c>
      <c r="I41" s="636">
        <v>-1.375</v>
      </c>
      <c r="J41" s="636">
        <v>-1.75</v>
      </c>
      <c r="K41" s="636">
        <v>-2.375</v>
      </c>
      <c r="L41" s="636">
        <v>-2.625</v>
      </c>
      <c r="M41" s="636">
        <v>-4.125</v>
      </c>
      <c r="N41" s="647">
        <v>-6</v>
      </c>
    </row>
    <row r="42" spans="3:14">
      <c r="C42" s="122">
        <f>margins!BN37</f>
        <v>9.125</v>
      </c>
      <c r="D42" s="123">
        <v>103.125</v>
      </c>
      <c r="F42" s="557"/>
      <c r="G42" s="638" t="s">
        <v>322</v>
      </c>
      <c r="H42" s="637">
        <v>-2.125</v>
      </c>
      <c r="I42" s="636">
        <v>-2.125</v>
      </c>
      <c r="J42" s="636">
        <v>-2.625</v>
      </c>
      <c r="K42" s="636">
        <v>-3.375</v>
      </c>
      <c r="L42" s="636">
        <v>-3.625</v>
      </c>
      <c r="M42" s="636">
        <v>-4.875</v>
      </c>
      <c r="N42" s="647">
        <v>-7.25</v>
      </c>
    </row>
    <row r="43" spans="3:14">
      <c r="C43" s="122">
        <f>margins!BN38</f>
        <v>9</v>
      </c>
      <c r="D43" s="123">
        <v>102.625</v>
      </c>
      <c r="F43" s="557"/>
      <c r="G43" s="638" t="s">
        <v>321</v>
      </c>
      <c r="H43" s="637">
        <v>-3.375</v>
      </c>
      <c r="I43" s="636">
        <v>-3.375</v>
      </c>
      <c r="J43" s="636">
        <v>-4</v>
      </c>
      <c r="K43" s="636">
        <v>-4.75</v>
      </c>
      <c r="L43" s="636">
        <v>-5.25</v>
      </c>
      <c r="M43" s="636" t="s">
        <v>14</v>
      </c>
      <c r="N43" s="635" t="s">
        <v>14</v>
      </c>
    </row>
    <row r="44" spans="3:14">
      <c r="C44" s="122">
        <f>margins!BN39</f>
        <v>8.875</v>
      </c>
      <c r="D44" s="123">
        <v>102.125</v>
      </c>
      <c r="F44" s="557"/>
      <c r="G44" s="638" t="s">
        <v>320</v>
      </c>
      <c r="H44" s="637">
        <v>-5.75</v>
      </c>
      <c r="I44" s="636">
        <v>-5.75</v>
      </c>
      <c r="J44" s="636">
        <v>-6.5</v>
      </c>
      <c r="K44" s="636">
        <v>-7.125</v>
      </c>
      <c r="L44" s="636" t="s">
        <v>14</v>
      </c>
      <c r="M44" s="636" t="s">
        <v>14</v>
      </c>
      <c r="N44" s="635" t="s">
        <v>14</v>
      </c>
    </row>
    <row r="45" spans="3:14">
      <c r="C45" s="122">
        <f>margins!BN40</f>
        <v>8.75</v>
      </c>
      <c r="D45" s="123">
        <v>101.5</v>
      </c>
      <c r="F45" s="557"/>
      <c r="G45" s="638" t="s">
        <v>319</v>
      </c>
      <c r="H45" s="637">
        <v>-7.75</v>
      </c>
      <c r="I45" s="636">
        <v>-7.875</v>
      </c>
      <c r="J45" s="636">
        <v>-8.375</v>
      </c>
      <c r="K45" s="636" t="s">
        <v>14</v>
      </c>
      <c r="L45" s="636" t="s">
        <v>14</v>
      </c>
      <c r="M45" s="636" t="s">
        <v>14</v>
      </c>
      <c r="N45" s="635" t="s">
        <v>14</v>
      </c>
    </row>
    <row r="46" spans="3:14">
      <c r="C46" s="122">
        <f>margins!BN41</f>
        <v>8.625</v>
      </c>
      <c r="D46" s="123">
        <v>100.875</v>
      </c>
      <c r="F46" s="634" t="s">
        <v>318</v>
      </c>
      <c r="G46" s="633" t="s">
        <v>317</v>
      </c>
      <c r="H46" s="632">
        <v>0</v>
      </c>
      <c r="I46" s="631">
        <v>0</v>
      </c>
      <c r="J46" s="631">
        <v>0</v>
      </c>
      <c r="K46" s="631">
        <v>0</v>
      </c>
      <c r="L46" s="631">
        <v>0</v>
      </c>
      <c r="M46" s="631">
        <v>0</v>
      </c>
      <c r="N46" s="630">
        <v>0</v>
      </c>
    </row>
    <row r="47" spans="3:14">
      <c r="C47" s="122">
        <f>margins!BN42</f>
        <v>8.5</v>
      </c>
      <c r="D47" s="123">
        <v>100.25</v>
      </c>
      <c r="F47" s="625"/>
      <c r="G47" s="629" t="s">
        <v>316</v>
      </c>
      <c r="H47" s="628">
        <v>0</v>
      </c>
      <c r="I47" s="627">
        <v>0</v>
      </c>
      <c r="J47" s="627">
        <v>0</v>
      </c>
      <c r="K47" s="627">
        <v>0</v>
      </c>
      <c r="L47" s="627">
        <v>0</v>
      </c>
      <c r="M47" s="627">
        <v>0</v>
      </c>
      <c r="N47" s="626">
        <v>0</v>
      </c>
    </row>
    <row r="48" spans="3:14">
      <c r="C48" s="122"/>
      <c r="D48" s="123"/>
      <c r="F48" s="625"/>
      <c r="G48" s="624" t="s">
        <v>315</v>
      </c>
      <c r="H48" s="623">
        <v>0</v>
      </c>
      <c r="I48" s="622">
        <v>0</v>
      </c>
      <c r="J48" s="622">
        <v>0</v>
      </c>
      <c r="K48" s="622">
        <v>0</v>
      </c>
      <c r="L48" s="622">
        <v>0</v>
      </c>
      <c r="M48" s="622">
        <v>0</v>
      </c>
      <c r="N48" s="621">
        <v>0</v>
      </c>
    </row>
    <row r="49" spans="6:14">
      <c r="F49" s="591" t="s">
        <v>210</v>
      </c>
      <c r="G49" s="620" t="s">
        <v>314</v>
      </c>
      <c r="H49" s="619">
        <v>0.5</v>
      </c>
      <c r="I49" s="618">
        <v>0.5</v>
      </c>
      <c r="J49" s="618">
        <v>0.5</v>
      </c>
      <c r="K49" s="618">
        <v>0.5</v>
      </c>
      <c r="L49" s="618">
        <v>0.5</v>
      </c>
      <c r="M49" s="618">
        <v>0.5</v>
      </c>
      <c r="N49" s="617">
        <v>0.5</v>
      </c>
    </row>
    <row r="50" spans="6:14">
      <c r="F50" s="596"/>
      <c r="G50" s="542" t="s">
        <v>313</v>
      </c>
      <c r="H50" s="616">
        <v>0.5</v>
      </c>
      <c r="I50" s="615">
        <v>0.5</v>
      </c>
      <c r="J50" s="615">
        <v>0.5</v>
      </c>
      <c r="K50" s="615">
        <v>0.5</v>
      </c>
      <c r="L50" s="615">
        <v>0.5</v>
      </c>
      <c r="M50" s="615">
        <v>0.5</v>
      </c>
      <c r="N50" s="614">
        <v>0.5</v>
      </c>
    </row>
    <row r="51" spans="6:14">
      <c r="F51" s="596"/>
      <c r="G51" s="542" t="s">
        <v>312</v>
      </c>
      <c r="H51" s="616">
        <v>0.375</v>
      </c>
      <c r="I51" s="615">
        <v>0.375</v>
      </c>
      <c r="J51" s="615">
        <v>0.375</v>
      </c>
      <c r="K51" s="615">
        <v>0.375</v>
      </c>
      <c r="L51" s="615">
        <v>0.375</v>
      </c>
      <c r="M51" s="615">
        <v>0.375</v>
      </c>
      <c r="N51" s="614">
        <v>0.375</v>
      </c>
    </row>
    <row r="52" spans="6:14">
      <c r="F52" s="596"/>
      <c r="G52" s="602" t="s">
        <v>311</v>
      </c>
      <c r="H52" s="613">
        <v>0</v>
      </c>
      <c r="I52" s="582">
        <v>0</v>
      </c>
      <c r="J52" s="582">
        <v>0</v>
      </c>
      <c r="K52" s="582">
        <v>0</v>
      </c>
      <c r="L52" s="582">
        <v>0</v>
      </c>
      <c r="M52" s="582">
        <v>0</v>
      </c>
      <c r="N52" s="581">
        <v>0</v>
      </c>
    </row>
    <row r="53" spans="6:14">
      <c r="F53" s="591" t="s">
        <v>310</v>
      </c>
      <c r="G53" s="539" t="s">
        <v>459</v>
      </c>
      <c r="H53" s="519">
        <v>-0.25</v>
      </c>
      <c r="I53" s="518">
        <v>-0.25</v>
      </c>
      <c r="J53" s="518">
        <v>-0.25</v>
      </c>
      <c r="K53" s="518">
        <v>-0.25</v>
      </c>
      <c r="L53" s="518">
        <v>-0.25</v>
      </c>
      <c r="M53" s="518">
        <v>-0.25</v>
      </c>
      <c r="N53" s="704">
        <v>-0.25</v>
      </c>
    </row>
    <row r="54" spans="6:14">
      <c r="F54" s="596"/>
      <c r="G54" s="612" t="s">
        <v>309</v>
      </c>
      <c r="H54" s="611">
        <v>0</v>
      </c>
      <c r="I54" s="610">
        <v>0</v>
      </c>
      <c r="J54" s="610">
        <v>0</v>
      </c>
      <c r="K54" s="610">
        <v>0</v>
      </c>
      <c r="L54" s="610">
        <v>0</v>
      </c>
      <c r="M54" s="610">
        <v>0</v>
      </c>
      <c r="N54" s="609">
        <v>0</v>
      </c>
    </row>
    <row r="55" spans="6:14">
      <c r="F55" s="596"/>
      <c r="G55" s="612" t="s">
        <v>308</v>
      </c>
      <c r="H55" s="611">
        <v>0</v>
      </c>
      <c r="I55" s="610">
        <v>0</v>
      </c>
      <c r="J55" s="610">
        <v>0</v>
      </c>
      <c r="K55" s="610">
        <v>0</v>
      </c>
      <c r="L55" s="610">
        <v>0</v>
      </c>
      <c r="M55" s="610">
        <v>0</v>
      </c>
      <c r="N55" s="609">
        <v>0</v>
      </c>
    </row>
    <row r="56" spans="6:14">
      <c r="F56" s="596"/>
      <c r="G56" s="608" t="s">
        <v>307</v>
      </c>
      <c r="H56" s="607">
        <v>0</v>
      </c>
      <c r="I56" s="606">
        <v>0</v>
      </c>
      <c r="J56" s="606">
        <v>0</v>
      </c>
      <c r="K56" s="606">
        <v>0</v>
      </c>
      <c r="L56" s="606">
        <v>0</v>
      </c>
      <c r="M56" s="606">
        <v>0</v>
      </c>
      <c r="N56" s="605">
        <v>0</v>
      </c>
    </row>
    <row r="57" spans="6:14">
      <c r="F57" s="596"/>
      <c r="G57" s="612" t="s">
        <v>306</v>
      </c>
      <c r="H57" s="706">
        <v>0</v>
      </c>
      <c r="I57" s="513">
        <v>0</v>
      </c>
      <c r="J57" s="513">
        <v>0</v>
      </c>
      <c r="K57" s="513">
        <v>0</v>
      </c>
      <c r="L57" s="513">
        <v>0</v>
      </c>
      <c r="M57" s="513">
        <v>0</v>
      </c>
      <c r="N57" s="512">
        <v>0</v>
      </c>
    </row>
    <row r="58" spans="6:14">
      <c r="F58" s="596"/>
      <c r="G58" s="612" t="s">
        <v>305</v>
      </c>
      <c r="H58" s="707">
        <v>0</v>
      </c>
      <c r="I58" s="513">
        <v>0</v>
      </c>
      <c r="J58" s="513">
        <v>0</v>
      </c>
      <c r="K58" s="513">
        <v>0</v>
      </c>
      <c r="L58" s="513">
        <v>0</v>
      </c>
      <c r="M58" s="513">
        <v>0</v>
      </c>
      <c r="N58" s="512">
        <v>0</v>
      </c>
    </row>
    <row r="59" spans="6:14">
      <c r="F59" s="596"/>
      <c r="G59" s="537" t="s">
        <v>304</v>
      </c>
      <c r="H59" s="514">
        <v>0</v>
      </c>
      <c r="I59" s="513">
        <v>0</v>
      </c>
      <c r="J59" s="513">
        <v>0</v>
      </c>
      <c r="K59" s="513">
        <v>0</v>
      </c>
      <c r="L59" s="513">
        <v>0</v>
      </c>
      <c r="M59" s="513">
        <v>0</v>
      </c>
      <c r="N59" s="512">
        <v>0</v>
      </c>
    </row>
    <row r="60" spans="6:14">
      <c r="F60" s="596"/>
      <c r="G60" s="537" t="s">
        <v>554</v>
      </c>
      <c r="H60" s="514">
        <v>0</v>
      </c>
      <c r="I60" s="513">
        <v>0</v>
      </c>
      <c r="J60" s="513">
        <v>0</v>
      </c>
      <c r="K60" s="513">
        <v>0</v>
      </c>
      <c r="L60" s="513">
        <v>0</v>
      </c>
      <c r="M60" s="513">
        <v>0</v>
      </c>
      <c r="N60" s="512">
        <v>0</v>
      </c>
    </row>
    <row r="61" spans="6:14">
      <c r="F61" s="596"/>
      <c r="G61" s="537" t="s">
        <v>721</v>
      </c>
      <c r="H61" s="536">
        <v>0</v>
      </c>
      <c r="I61" s="535">
        <v>0</v>
      </c>
      <c r="J61" s="535">
        <v>0</v>
      </c>
      <c r="K61" s="535">
        <v>0</v>
      </c>
      <c r="L61" s="535">
        <v>0</v>
      </c>
      <c r="M61" s="535">
        <v>0</v>
      </c>
      <c r="N61" s="604">
        <v>0</v>
      </c>
    </row>
    <row r="62" spans="6:14">
      <c r="F62" s="591" t="s">
        <v>45</v>
      </c>
      <c r="G62" s="603" t="s">
        <v>303</v>
      </c>
      <c r="H62" s="526">
        <v>-0.25</v>
      </c>
      <c r="I62" s="525">
        <v>-0.25</v>
      </c>
      <c r="J62" s="525">
        <v>-0.25</v>
      </c>
      <c r="K62" s="525">
        <v>-0.375</v>
      </c>
      <c r="L62" s="533">
        <v>-0.375</v>
      </c>
      <c r="M62" s="533">
        <v>-0.375</v>
      </c>
      <c r="N62" s="701">
        <v>-0.5</v>
      </c>
    </row>
    <row r="63" spans="6:14">
      <c r="F63" s="586"/>
      <c r="G63" s="602" t="s">
        <v>302</v>
      </c>
      <c r="H63" s="510">
        <v>-0.75</v>
      </c>
      <c r="I63" s="509">
        <v>-0.75</v>
      </c>
      <c r="J63" s="509">
        <v>-0.75</v>
      </c>
      <c r="K63" s="509">
        <v>-0.75</v>
      </c>
      <c r="L63" s="522">
        <v>-0.75</v>
      </c>
      <c r="M63" s="522">
        <v>-0.75</v>
      </c>
      <c r="N63" s="703">
        <v>-1</v>
      </c>
    </row>
    <row r="64" spans="6:14">
      <c r="F64" s="591" t="s">
        <v>62</v>
      </c>
      <c r="G64" s="601" t="s">
        <v>297</v>
      </c>
      <c r="H64" s="600">
        <v>0</v>
      </c>
      <c r="I64" s="599">
        <v>0</v>
      </c>
      <c r="J64" s="599">
        <v>0</v>
      </c>
      <c r="K64" s="599">
        <v>0</v>
      </c>
      <c r="L64" s="599">
        <v>0</v>
      </c>
      <c r="M64" s="599">
        <v>0</v>
      </c>
      <c r="N64" s="598">
        <v>0</v>
      </c>
    </row>
    <row r="65" spans="6:14">
      <c r="F65" s="596"/>
      <c r="G65" s="597" t="s">
        <v>296</v>
      </c>
      <c r="H65" s="594">
        <v>0</v>
      </c>
      <c r="I65" s="593">
        <v>0</v>
      </c>
      <c r="J65" s="593">
        <v>0</v>
      </c>
      <c r="K65" s="593">
        <v>0</v>
      </c>
      <c r="L65" s="593">
        <v>0</v>
      </c>
      <c r="M65" s="593">
        <v>0</v>
      </c>
      <c r="N65" s="592">
        <v>0</v>
      </c>
    </row>
    <row r="66" spans="6:14">
      <c r="F66" s="596"/>
      <c r="G66" s="595" t="s">
        <v>295</v>
      </c>
      <c r="H66" s="594">
        <v>0</v>
      </c>
      <c r="I66" s="593">
        <v>0</v>
      </c>
      <c r="J66" s="593">
        <v>0</v>
      </c>
      <c r="K66" s="593">
        <v>0</v>
      </c>
      <c r="L66" s="593">
        <v>0</v>
      </c>
      <c r="M66" s="593">
        <v>0</v>
      </c>
      <c r="N66" s="592">
        <v>0</v>
      </c>
    </row>
    <row r="67" spans="6:14">
      <c r="F67" s="596"/>
      <c r="G67" s="597" t="s">
        <v>294</v>
      </c>
      <c r="H67" s="594">
        <v>0</v>
      </c>
      <c r="I67" s="593">
        <v>0</v>
      </c>
      <c r="J67" s="593">
        <v>0</v>
      </c>
      <c r="K67" s="593">
        <v>0</v>
      </c>
      <c r="L67" s="593">
        <v>0</v>
      </c>
      <c r="M67" s="593">
        <v>0</v>
      </c>
      <c r="N67" s="592">
        <v>0</v>
      </c>
    </row>
    <row r="68" spans="6:14">
      <c r="F68" s="596"/>
      <c r="G68" s="597" t="s">
        <v>293</v>
      </c>
      <c r="H68" s="594">
        <v>0</v>
      </c>
      <c r="I68" s="593">
        <v>0</v>
      </c>
      <c r="J68" s="593">
        <v>0</v>
      </c>
      <c r="K68" s="593">
        <v>0</v>
      </c>
      <c r="L68" s="593">
        <v>0</v>
      </c>
      <c r="M68" s="593">
        <v>0</v>
      </c>
      <c r="N68" s="592">
        <v>0</v>
      </c>
    </row>
    <row r="69" spans="6:14">
      <c r="F69" s="596"/>
      <c r="G69" s="595" t="s">
        <v>292</v>
      </c>
      <c r="H69" s="594">
        <v>0</v>
      </c>
      <c r="I69" s="593">
        <v>0</v>
      </c>
      <c r="J69" s="593">
        <v>0</v>
      </c>
      <c r="K69" s="593">
        <v>0</v>
      </c>
      <c r="L69" s="593">
        <v>0</v>
      </c>
      <c r="M69" s="593">
        <v>0</v>
      </c>
      <c r="N69" s="592">
        <v>0</v>
      </c>
    </row>
    <row r="70" spans="6:14">
      <c r="F70" s="596"/>
      <c r="G70" s="595" t="s">
        <v>291</v>
      </c>
      <c r="H70" s="594">
        <v>-0.25</v>
      </c>
      <c r="I70" s="593">
        <v>-0.25</v>
      </c>
      <c r="J70" s="593">
        <v>-0.25</v>
      </c>
      <c r="K70" s="593">
        <v>-0.375</v>
      </c>
      <c r="L70" s="593">
        <v>-0.375</v>
      </c>
      <c r="M70" s="593">
        <v>-0.5</v>
      </c>
      <c r="N70" s="592" t="s">
        <v>14</v>
      </c>
    </row>
    <row r="71" spans="6:14">
      <c r="F71" s="596"/>
      <c r="G71" s="595" t="s">
        <v>290</v>
      </c>
      <c r="H71" s="594">
        <v>-2</v>
      </c>
      <c r="I71" s="593">
        <v>-2</v>
      </c>
      <c r="J71" s="593">
        <v>-2</v>
      </c>
      <c r="K71" s="593">
        <v>-2</v>
      </c>
      <c r="L71" s="593">
        <v>-2</v>
      </c>
      <c r="M71" s="593">
        <v>-2</v>
      </c>
      <c r="N71" s="592">
        <v>-2</v>
      </c>
    </row>
    <row r="72" spans="6:14">
      <c r="F72" s="586"/>
      <c r="G72" s="595" t="s">
        <v>381</v>
      </c>
      <c r="H72" s="594">
        <v>-0.5</v>
      </c>
      <c r="I72" s="593">
        <v>-0.5</v>
      </c>
      <c r="J72" s="593">
        <v>-0.5</v>
      </c>
      <c r="K72" s="593">
        <v>-0.5</v>
      </c>
      <c r="L72" s="593">
        <v>-0.5</v>
      </c>
      <c r="M72" s="593" t="s">
        <v>14</v>
      </c>
      <c r="N72" s="592" t="s">
        <v>14</v>
      </c>
    </row>
    <row r="73" spans="6:14">
      <c r="F73" s="591" t="s">
        <v>339</v>
      </c>
      <c r="G73" s="590" t="s">
        <v>338</v>
      </c>
      <c r="H73" s="589">
        <v>0</v>
      </c>
      <c r="I73" s="588">
        <v>0</v>
      </c>
      <c r="J73" s="588">
        <v>0</v>
      </c>
      <c r="K73" s="588">
        <v>0</v>
      </c>
      <c r="L73" s="588">
        <v>0</v>
      </c>
      <c r="M73" s="588">
        <v>0</v>
      </c>
      <c r="N73" s="587">
        <v>0</v>
      </c>
    </row>
    <row r="74" spans="6:14">
      <c r="F74" s="586"/>
      <c r="G74" s="585" t="s">
        <v>337</v>
      </c>
      <c r="H74" s="584">
        <v>0</v>
      </c>
      <c r="I74" s="583">
        <v>0</v>
      </c>
      <c r="J74" s="583">
        <v>0</v>
      </c>
      <c r="K74" s="583">
        <v>0</v>
      </c>
      <c r="L74" s="582">
        <v>0</v>
      </c>
      <c r="M74" s="582">
        <v>0</v>
      </c>
      <c r="N74" s="581">
        <v>0</v>
      </c>
    </row>
  </sheetData>
  <mergeCells count="4">
    <mergeCell ref="C6:D6"/>
    <mergeCell ref="H20:N20"/>
    <mergeCell ref="F20:G20"/>
    <mergeCell ref="I12:M12"/>
  </mergeCells>
  <conditionalFormatting sqref="G22 N54:N56">
    <cfRule type="cellIs" dxfId="80" priority="104" operator="between">
      <formula>101</formula>
      <formula>101.5</formula>
    </cfRule>
  </conditionalFormatting>
  <conditionalFormatting sqref="G30">
    <cfRule type="cellIs" dxfId="79" priority="103" operator="between">
      <formula>101</formula>
      <formula>101.5</formula>
    </cfRule>
  </conditionalFormatting>
  <conditionalFormatting sqref="G38">
    <cfRule type="cellIs" dxfId="78" priority="53" operator="between">
      <formula>101</formula>
      <formula>101.5</formula>
    </cfRule>
  </conditionalFormatting>
  <conditionalFormatting sqref="H24:H29">
    <cfRule type="cellIs" dxfId="77" priority="33" operator="between">
      <formula>101</formula>
      <formula>101.5</formula>
    </cfRule>
  </conditionalFormatting>
  <conditionalFormatting sqref="H32:H37">
    <cfRule type="cellIs" dxfId="76" priority="25" operator="between">
      <formula>101</formula>
      <formula>101.5</formula>
    </cfRule>
  </conditionalFormatting>
  <conditionalFormatting sqref="H29:L29">
    <cfRule type="cellIs" dxfId="75" priority="38" operator="between">
      <formula>101</formula>
      <formula>101.5</formula>
    </cfRule>
  </conditionalFormatting>
  <conditionalFormatting sqref="H35:L37">
    <cfRule type="cellIs" dxfId="74" priority="15" operator="between">
      <formula>101</formula>
      <formula>101.5</formula>
    </cfRule>
  </conditionalFormatting>
  <conditionalFormatting sqref="H24:M28">
    <cfRule type="cellIs" dxfId="73" priority="35" operator="between">
      <formula>101</formula>
      <formula>101.5</formula>
    </cfRule>
  </conditionalFormatting>
  <conditionalFormatting sqref="H40:M45">
    <cfRule type="cellIs" dxfId="72" priority="1" operator="between">
      <formula>101</formula>
      <formula>101.5</formula>
    </cfRule>
  </conditionalFormatting>
  <conditionalFormatting sqref="J22:M23">
    <cfRule type="cellIs" dxfId="71" priority="36" operator="between">
      <formula>101</formula>
      <formula>101.5</formula>
    </cfRule>
  </conditionalFormatting>
  <conditionalFormatting sqref="J30:M31 H32:M34">
    <cfRule type="cellIs" dxfId="70" priority="28" operator="between">
      <formula>101</formula>
      <formula>101.5</formula>
    </cfRule>
  </conditionalFormatting>
  <conditionalFormatting sqref="J38:M39">
    <cfRule type="cellIs" dxfId="69" priority="12" operator="between">
      <formula>101</formula>
      <formula>101.5</formula>
    </cfRule>
  </conditionalFormatting>
  <conditionalFormatting sqref="L26">
    <cfRule type="cellIs" dxfId="68" priority="32" operator="between">
      <formula>101</formula>
      <formula>101.5</formula>
    </cfRule>
  </conditionalFormatting>
  <conditionalFormatting sqref="L34">
    <cfRule type="cellIs" dxfId="67" priority="24" operator="between">
      <formula>101</formula>
      <formula>101.5</formula>
    </cfRule>
  </conditionalFormatting>
  <conditionalFormatting sqref="L42">
    <cfRule type="cellIs" dxfId="66" priority="8" operator="between">
      <formula>101</formula>
      <formula>101.5</formula>
    </cfRule>
  </conditionalFormatting>
  <conditionalFormatting sqref="M22:M25">
    <cfRule type="cellIs" dxfId="65" priority="31" operator="between">
      <formula>101</formula>
      <formula>101.5</formula>
    </cfRule>
  </conditionalFormatting>
  <conditionalFormatting sqref="M29:M33">
    <cfRule type="cellIs" dxfId="64" priority="21" operator="between">
      <formula>101</formula>
      <formula>101.5</formula>
    </cfRule>
  </conditionalFormatting>
  <conditionalFormatting sqref="M35:M41">
    <cfRule type="cellIs" dxfId="63" priority="7" operator="between">
      <formula>101</formula>
      <formula>101.5</formula>
    </cfRule>
  </conditionalFormatting>
  <conditionalFormatting sqref="N22:N52">
    <cfRule type="cellIs" dxfId="62" priority="49" operator="between">
      <formula>101</formula>
      <formula>101.5</formula>
    </cfRule>
  </conditionalFormatting>
  <conditionalFormatting sqref="N64:N74">
    <cfRule type="cellIs" dxfId="61" priority="55" operator="between">
      <formula>101</formula>
      <formula>101.5</formula>
    </cfRule>
  </conditionalFormatting>
  <dataValidations disablePrompts="1"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$G$49:$G$52</formula1>
    </dataValidation>
  </dataValidation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73587AA0-FC1B-426E-9A0F-C2F02AA7EAF4}">
          <x14:formula1>
            <xm:f>margins!$AC$122:$AC$130</xm:f>
          </x14:formula1>
          <xm:sqref>S21</xm:sqref>
        </x14:dataValidation>
        <x14:dataValidation type="list" allowBlank="1" showInputMessage="1" showErrorMessage="1" xr:uid="{01B5E1A6-7BF5-413C-A114-E27ECDEFCB21}">
          <x14:formula1>
            <xm:f>margins!$AC$116:$AC$119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margins!$AC$113:$AC$115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margins!$AC$110:$AC$111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margins!$AF$110:$AF$112</xm:f>
          </x14:formula1>
          <xm:sqref>S23</xm:sqref>
        </x14:dataValidation>
        <x14:dataValidation type="list" allowBlank="1" showInputMessage="1" showErrorMessage="1" xr:uid="{E44588A2-A2BE-4CAB-BA76-EF56D1A32168}">
          <x14:formula1>
            <xm:f>margins!$N$165:$N$167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margins!$AC$133:$AC$135</xm:f>
          </x14:formula1>
          <xm:sqref>S22</xm:sqref>
        </x14:dataValidation>
        <x14:dataValidation type="list" allowBlank="1" showInputMessage="1" showErrorMessage="1" xr:uid="{F6C42A6F-62EB-489B-9729-D78AB4489AA6}">
          <x14:formula1>
            <xm:f>margins!$AC$146:$AC$155</xm:f>
          </x14:formula1>
          <xm:sqref>S24</xm:sqref>
        </x14:dataValidation>
        <x14:dataValidation type="list" allowBlank="1" showInputMessage="1" showErrorMessage="1" xr:uid="{AF0F981D-6BCF-47F8-8FCB-F21B32E16223}">
          <x14:formula1>
            <xm:f>margins!$AC$160:$AC$162</xm:f>
          </x14:formula1>
          <xm:sqref>S20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9.85546875" style="1057" customWidth="1"/>
    <col min="3" max="3" width="26.42578125" style="1057" customWidth="1"/>
    <col min="4" max="4" width="13.7109375" style="1057" customWidth="1"/>
    <col min="5" max="5" width="13.85546875" style="1057" customWidth="1"/>
    <col min="6" max="6" width="16.85546875" style="1057" customWidth="1"/>
    <col min="7" max="7" width="16.42578125" style="1057" customWidth="1"/>
    <col min="8" max="8" width="14.7109375" style="1057" customWidth="1"/>
    <col min="9" max="9" width="10.7109375" style="1057" bestFit="1" customWidth="1"/>
    <col min="10" max="10" width="17.710937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 customWidth="1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9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6">
        <f ca="1">NOW()</f>
        <v>45978.399704166666</v>
      </c>
      <c r="L2" s="1756"/>
      <c r="M2" s="1478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5" t="s">
        <v>648</v>
      </c>
      <c r="L3" s="1755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2"/>
      <c r="L4" s="1462"/>
      <c r="M4" s="1470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7"/>
      <c r="L5" s="1462" t="s">
        <v>183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70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70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1"/>
    </row>
    <row r="10" spans="1:17" s="1057" customFormat="1" ht="14.25" customHeight="1">
      <c r="A10" s="1757" t="s">
        <v>340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9"/>
      <c r="O10" s="1717" t="s">
        <v>380</v>
      </c>
      <c r="P10" s="1718"/>
      <c r="Q10" s="1718"/>
    </row>
    <row r="11" spans="1:17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2"/>
      <c r="O11" s="1"/>
      <c r="P11" s="1"/>
      <c r="Q11" s="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30" t="s">
        <v>335</v>
      </c>
      <c r="D13"/>
      <c r="E13" s="1202" t="s">
        <v>2</v>
      </c>
      <c r="F13" s="1201"/>
      <c r="H13" s="1920" t="s">
        <v>334</v>
      </c>
      <c r="I13" s="1921"/>
      <c r="J13" s="1922"/>
      <c r="M13" s="1061"/>
      <c r="O13" s="1"/>
      <c r="P13" s="1"/>
      <c r="Q13" s="1"/>
    </row>
    <row r="14" spans="1:17" s="1057" customFormat="1" ht="15.75" thickBot="1">
      <c r="A14" s="1250"/>
      <c r="B14" s="1502">
        <f>margins!BN3</f>
        <v>13.375</v>
      </c>
      <c r="C14" s="1503">
        <v>110.75</v>
      </c>
      <c r="D14"/>
      <c r="E14" s="1233" t="s">
        <v>6</v>
      </c>
      <c r="F14" s="1296">
        <v>100</v>
      </c>
      <c r="H14" s="1931" t="s">
        <v>748</v>
      </c>
      <c r="I14" s="1932"/>
      <c r="J14" s="1933"/>
      <c r="M14" s="1061"/>
      <c r="O14" s="1"/>
      <c r="P14" s="1"/>
      <c r="Q14" s="1"/>
    </row>
    <row r="15" spans="1:17" s="1057" customFormat="1" ht="15.75" thickBot="1">
      <c r="A15" s="1250"/>
      <c r="B15" s="1480">
        <f>margins!BN4</f>
        <v>13.25</v>
      </c>
      <c r="C15" s="1503">
        <v>110.625</v>
      </c>
      <c r="D15"/>
      <c r="E15" s="1233" t="s">
        <v>8</v>
      </c>
      <c r="F15" s="1255">
        <v>0</v>
      </c>
      <c r="H15" s="1917" t="s">
        <v>749</v>
      </c>
      <c r="I15" s="1918"/>
      <c r="J15" s="1919"/>
      <c r="M15" s="1061"/>
      <c r="O15" s="658" t="s">
        <v>211</v>
      </c>
      <c r="P15" s="484">
        <v>10</v>
      </c>
      <c r="Q15" s="709">
        <f>VLOOKUP(P15,$B$14:$C$53,2,FALSE)</f>
        <v>106</v>
      </c>
    </row>
    <row r="16" spans="1:17" s="1057" customFormat="1" ht="15.75" thickBot="1">
      <c r="A16" s="1250"/>
      <c r="B16" s="1480">
        <f>margins!BN5</f>
        <v>13.125</v>
      </c>
      <c r="C16" s="1503">
        <v>110.5</v>
      </c>
      <c r="D16"/>
      <c r="E16" s="1222" t="s">
        <v>10</v>
      </c>
      <c r="F16" s="1493">
        <v>-0.375</v>
      </c>
      <c r="H16" s="1917"/>
      <c r="I16" s="1918"/>
      <c r="J16" s="1919"/>
      <c r="M16" s="1061"/>
      <c r="O16" s="660" t="s">
        <v>386</v>
      </c>
      <c r="P16" s="485" t="s">
        <v>20</v>
      </c>
      <c r="Q16" s="489"/>
    </row>
    <row r="17" spans="1:17" s="1057" customFormat="1">
      <c r="A17" s="1250"/>
      <c r="B17" s="1480">
        <f>margins!BN6</f>
        <v>13</v>
      </c>
      <c r="C17" s="1503">
        <v>110.375</v>
      </c>
      <c r="D17"/>
      <c r="E17"/>
      <c r="F17"/>
      <c r="H17" s="1926" t="s">
        <v>750</v>
      </c>
      <c r="I17" s="1927"/>
      <c r="J17" s="1928"/>
      <c r="L17" s="1201"/>
      <c r="M17" s="1070"/>
      <c r="O17" s="660" t="s">
        <v>212</v>
      </c>
      <c r="P17" s="485" t="s">
        <v>321</v>
      </c>
      <c r="Q17" s="489"/>
    </row>
    <row r="18" spans="1:17" s="1057" customFormat="1" ht="15" customHeight="1" thickBot="1">
      <c r="A18" s="1250"/>
      <c r="B18" s="1480">
        <f>margins!BN7</f>
        <v>12.875</v>
      </c>
      <c r="C18" s="1503">
        <v>110.25</v>
      </c>
      <c r="D18"/>
      <c r="E18"/>
      <c r="F18"/>
      <c r="H18" s="1934" t="s">
        <v>751</v>
      </c>
      <c r="I18" s="1935"/>
      <c r="J18" s="1936"/>
      <c r="L18" s="1341"/>
      <c r="M18" s="1061"/>
      <c r="O18" s="660" t="s">
        <v>210</v>
      </c>
      <c r="P18" s="485" t="s">
        <v>311</v>
      </c>
      <c r="Q18" s="489">
        <f>IF(P18="Choose a Selection",0,(INDEX($D$57:$J$107,MATCH(P18,$C$57:$C$107,0),MATCH($P$16,$D$56:$J$56,0),1)))</f>
        <v>0</v>
      </c>
    </row>
    <row r="19" spans="1:17" s="1057" customFormat="1">
      <c r="A19" s="1250"/>
      <c r="B19" s="1480">
        <f>margins!BN8</f>
        <v>12.75</v>
      </c>
      <c r="C19" s="1503">
        <v>110.125</v>
      </c>
      <c r="D19"/>
      <c r="E19" s="1725" t="s">
        <v>30</v>
      </c>
      <c r="F19" s="1732"/>
      <c r="L19" s="1341"/>
      <c r="M19" s="1061"/>
      <c r="O19" s="660" t="s">
        <v>4</v>
      </c>
      <c r="P19" s="485" t="s">
        <v>203</v>
      </c>
      <c r="Q19" s="489">
        <f>IF(P19="Full Doc",INDEX($D$57:$J$64,MATCH(P17,C57:C64,0),MATCH(P16,$D$56:$J$56,0),1),0)</f>
        <v>0</v>
      </c>
    </row>
    <row r="20" spans="1:17" s="1057" customFormat="1">
      <c r="A20" s="1250"/>
      <c r="B20" s="1480">
        <f>margins!BN9</f>
        <v>12.625</v>
      </c>
      <c r="C20" s="1503">
        <v>110</v>
      </c>
      <c r="D20"/>
      <c r="E20" s="1494" t="s">
        <v>84</v>
      </c>
      <c r="F20" s="1252">
        <v>-0.25</v>
      </c>
      <c r="L20" s="1341"/>
      <c r="M20" s="1061"/>
      <c r="O20" s="660" t="s">
        <v>557</v>
      </c>
      <c r="P20" s="485" t="s">
        <v>203</v>
      </c>
      <c r="Q20" s="489">
        <f>IF(P20="Choose a Selection",0,(INDEX($D$65:$J$72,MATCH($P$17,C65:C72,0),MATCH($P$16,$D$56:$J$56,0),1)))</f>
        <v>0</v>
      </c>
    </row>
    <row r="21" spans="1:17" s="1057" customFormat="1" ht="15" customHeight="1">
      <c r="A21" s="1250"/>
      <c r="B21" s="1480">
        <f>margins!BN10</f>
        <v>12.5</v>
      </c>
      <c r="C21" s="1503">
        <v>109.875</v>
      </c>
      <c r="D21"/>
      <c r="E21" s="1494" t="s">
        <v>85</v>
      </c>
      <c r="F21" s="1252">
        <v>-0.32500000000000001</v>
      </c>
      <c r="G21" s="1205"/>
      <c r="L21" s="1341"/>
      <c r="M21" s="1061"/>
      <c r="O21" s="660" t="s">
        <v>558</v>
      </c>
      <c r="P21" s="485" t="s">
        <v>203</v>
      </c>
      <c r="Q21" s="489">
        <f>IF(P21="Choose a Selection",0,(INDEX($D$81:$J$83,MATCH($P$17,C81:C83,0),MATCH($P$16,$D$56:$J$56,0),1)))</f>
        <v>0</v>
      </c>
    </row>
    <row r="22" spans="1:17" s="1057" customFormat="1">
      <c r="A22" s="1250"/>
      <c r="B22" s="1480">
        <f>margins!BN11</f>
        <v>12.375</v>
      </c>
      <c r="C22" s="1503">
        <v>109.75</v>
      </c>
      <c r="D22"/>
      <c r="E22" s="1494" t="s">
        <v>86</v>
      </c>
      <c r="F22" s="1500">
        <v>-0.55000000000000004</v>
      </c>
      <c r="L22" s="1341"/>
      <c r="M22" s="1061"/>
      <c r="O22" s="660" t="s">
        <v>559</v>
      </c>
      <c r="P22" s="485" t="s">
        <v>203</v>
      </c>
      <c r="Q22" s="489">
        <f>IF(P22="Choose a Selection",0,(INDEX($D$73:$J$80,MATCH($P$17,C73:C80,0),MATCH($P$16,$D$56:$J$56,0),1)))</f>
        <v>0</v>
      </c>
    </row>
    <row r="23" spans="1:17" s="1057" customFormat="1" ht="15.75" thickBot="1">
      <c r="A23" s="1203"/>
      <c r="B23" s="1480">
        <f>margins!BN12</f>
        <v>12.25</v>
      </c>
      <c r="C23" s="1503">
        <v>109.625</v>
      </c>
      <c r="D23"/>
      <c r="E23" s="1495" t="s">
        <v>87</v>
      </c>
      <c r="F23" s="1258">
        <v>-0.65</v>
      </c>
      <c r="G23"/>
      <c r="L23" s="1341"/>
      <c r="M23" s="1472"/>
      <c r="O23" s="660" t="s">
        <v>310</v>
      </c>
      <c r="P23" s="485" t="s">
        <v>203</v>
      </c>
      <c r="Q23" s="489">
        <f>IF(P23="Choose a Selection",0,(INDEX($D$57:$J$107,MATCH(P23,$C$57:$C$107,0),MATCH($P$16,$D$56:$J$56,0),1)))</f>
        <v>0</v>
      </c>
    </row>
    <row r="24" spans="1:17" s="1057" customFormat="1" ht="14.25" customHeight="1">
      <c r="A24" s="1203"/>
      <c r="B24" s="1480">
        <f>margins!BN13</f>
        <v>12.125</v>
      </c>
      <c r="C24" s="1503">
        <v>109.5</v>
      </c>
      <c r="D24"/>
      <c r="E24" s="1057" t="s">
        <v>330</v>
      </c>
      <c r="F24"/>
      <c r="G24"/>
      <c r="L24" s="1341"/>
      <c r="M24" s="1477"/>
      <c r="O24" s="660" t="s">
        <v>45</v>
      </c>
      <c r="P24" s="485" t="s">
        <v>203</v>
      </c>
      <c r="Q24" s="489">
        <f>IF(P24="Choose a Selection",0,(INDEX($D$57:$J$107,MATCH(P24,$C$57:$C$107,0),MATCH($P$16,$D$56:$J$56,0),1)))</f>
        <v>0</v>
      </c>
    </row>
    <row r="25" spans="1:17" s="1057" customFormat="1">
      <c r="A25" s="1203"/>
      <c r="B25" s="1480">
        <f>margins!BN14</f>
        <v>12</v>
      </c>
      <c r="C25" s="1503">
        <v>109.375</v>
      </c>
      <c r="D25"/>
      <c r="E25"/>
      <c r="H25"/>
      <c r="I25"/>
      <c r="J25" s="1341"/>
      <c r="K25" s="1341"/>
      <c r="L25" s="1341"/>
      <c r="M25" s="1477"/>
      <c r="O25" s="660" t="s">
        <v>62</v>
      </c>
      <c r="P25" s="485" t="s">
        <v>203</v>
      </c>
      <c r="Q25" s="489">
        <f>IF(P25="Choose a Selection",0,(INDEX($D$57:$J$107,MATCH(P25,$C$57:$C$107,0),MATCH($P$16,$D$56:$J$56,0),1)))</f>
        <v>0</v>
      </c>
    </row>
    <row r="26" spans="1:17" s="1057" customFormat="1" ht="14.25" customHeight="1">
      <c r="A26" s="1203"/>
      <c r="B26" s="1480">
        <f>margins!BN15</f>
        <v>11.875</v>
      </c>
      <c r="C26" s="1503">
        <v>109.25</v>
      </c>
      <c r="D26"/>
      <c r="E26"/>
      <c r="G26"/>
      <c r="H26"/>
      <c r="I26"/>
      <c r="J26"/>
      <c r="K26"/>
      <c r="L26"/>
      <c r="M26" s="1477"/>
      <c r="O26" s="660" t="s">
        <v>217</v>
      </c>
      <c r="P26" s="485" t="s">
        <v>203</v>
      </c>
      <c r="Q26" s="489">
        <f>IF(P26=15,0, IF(P26=30, F16, 0))</f>
        <v>0</v>
      </c>
    </row>
    <row r="27" spans="1:17" s="1057" customFormat="1" ht="15.75" thickBot="1">
      <c r="A27" s="1203"/>
      <c r="B27" s="1480">
        <f>margins!BN16</f>
        <v>11.75</v>
      </c>
      <c r="C27" s="1503">
        <v>109.125</v>
      </c>
      <c r="D27"/>
      <c r="E27"/>
      <c r="G27"/>
      <c r="H27"/>
      <c r="I27"/>
      <c r="J27"/>
      <c r="K27"/>
      <c r="L27"/>
      <c r="M27" s="1477"/>
      <c r="O27" s="662" t="s">
        <v>218</v>
      </c>
      <c r="P27" s="486"/>
      <c r="Q27" s="490">
        <f>SUM(Q18:Q26)</f>
        <v>0</v>
      </c>
    </row>
    <row r="28" spans="1:17" s="1057" customFormat="1" ht="14.25" customHeight="1" thickBot="1">
      <c r="A28" s="1203"/>
      <c r="B28" s="1480">
        <f>margins!BN17</f>
        <v>11.625</v>
      </c>
      <c r="C28" s="1503">
        <v>109</v>
      </c>
      <c r="D28"/>
      <c r="E28"/>
      <c r="G28"/>
      <c r="H28"/>
      <c r="I28"/>
      <c r="J28"/>
      <c r="K28"/>
      <c r="L28"/>
      <c r="M28" s="1477"/>
      <c r="O28" s="473"/>
      <c r="P28" s="474"/>
      <c r="Q28" s="483"/>
    </row>
    <row r="29" spans="1:17" s="1057" customFormat="1" ht="15.75" thickBot="1">
      <c r="A29" s="1203"/>
      <c r="B29" s="1480">
        <f>margins!BN18</f>
        <v>11.5</v>
      </c>
      <c r="C29" s="1503">
        <v>108.875</v>
      </c>
      <c r="D29"/>
      <c r="E29"/>
      <c r="G29"/>
      <c r="H29"/>
      <c r="I29"/>
      <c r="J29"/>
      <c r="K29"/>
      <c r="L29"/>
      <c r="M29" s="1477"/>
      <c r="O29" s="475" t="s">
        <v>219</v>
      </c>
      <c r="P29" s="476"/>
      <c r="Q29" s="663">
        <f>IF(ISNUMBER(MATCH("NA", Q18:Q26, 0)), "NA", MIN(F14,(Q15+Q27)))</f>
        <v>100</v>
      </c>
    </row>
    <row r="30" spans="1:17" s="1057" customFormat="1" ht="15.75" thickBot="1">
      <c r="A30" s="1203"/>
      <c r="B30" s="1480">
        <f>margins!BN19</f>
        <v>11.375</v>
      </c>
      <c r="C30" s="1503">
        <v>108.75</v>
      </c>
      <c r="D30"/>
      <c r="E30"/>
      <c r="G30"/>
      <c r="H30"/>
      <c r="J30"/>
      <c r="K30"/>
      <c r="L30"/>
      <c r="M30" s="1473"/>
      <c r="O30" s="470"/>
      <c r="P30" s="470"/>
      <c r="Q30" s="470"/>
    </row>
    <row r="31" spans="1:17" s="1057" customFormat="1" ht="15.75" thickBot="1">
      <c r="A31" s="1203"/>
      <c r="B31" s="1480">
        <f>margins!BN20</f>
        <v>11.25</v>
      </c>
      <c r="C31" s="1503">
        <v>108.625</v>
      </c>
      <c r="D31"/>
      <c r="E31"/>
      <c r="G31" s="1202"/>
      <c r="H31" s="1201"/>
      <c r="J31"/>
      <c r="K31"/>
      <c r="L31"/>
      <c r="M31" s="1473"/>
      <c r="O31" s="846" t="s">
        <v>485</v>
      </c>
      <c r="P31" s="847"/>
      <c r="Q31" s="848"/>
    </row>
    <row r="32" spans="1:17" s="1057" customFormat="1">
      <c r="A32" s="1203"/>
      <c r="B32" s="1480">
        <f>margins!BN21</f>
        <v>11.125</v>
      </c>
      <c r="C32" s="1503">
        <v>108.375</v>
      </c>
      <c r="D32"/>
      <c r="E32"/>
      <c r="M32" s="1061"/>
    </row>
    <row r="33" spans="1:13" s="1057" customFormat="1">
      <c r="A33" s="1203"/>
      <c r="B33" s="1480">
        <f>margins!BN22</f>
        <v>11</v>
      </c>
      <c r="C33" s="1503">
        <v>108.125</v>
      </c>
      <c r="D33"/>
      <c r="E33"/>
      <c r="M33" s="1061"/>
    </row>
    <row r="34" spans="1:13" s="1057" customFormat="1">
      <c r="A34" s="1203"/>
      <c r="B34" s="1480">
        <f>margins!BN23</f>
        <v>10.875</v>
      </c>
      <c r="C34" s="1503">
        <v>107.875</v>
      </c>
      <c r="D34"/>
      <c r="E34"/>
      <c r="M34" s="1061"/>
    </row>
    <row r="35" spans="1:13" s="1057" customFormat="1">
      <c r="A35" s="1203"/>
      <c r="B35" s="1480">
        <f>margins!BN24</f>
        <v>10.75</v>
      </c>
      <c r="C35" s="1503">
        <v>107.625</v>
      </c>
      <c r="D35"/>
      <c r="E35"/>
      <c r="M35" s="1061"/>
    </row>
    <row r="36" spans="1:13" s="1057" customFormat="1">
      <c r="A36" s="1203"/>
      <c r="B36" s="1480">
        <f>margins!BN25</f>
        <v>10.625</v>
      </c>
      <c r="C36" s="1503">
        <v>107.375</v>
      </c>
      <c r="D36"/>
      <c r="E36"/>
      <c r="M36" s="1061"/>
    </row>
    <row r="37" spans="1:13" s="1057" customFormat="1">
      <c r="A37" s="1203"/>
      <c r="B37" s="1480">
        <f>margins!BN26</f>
        <v>10.5</v>
      </c>
      <c r="C37" s="1503">
        <v>107.125</v>
      </c>
      <c r="D37"/>
      <c r="E37"/>
      <c r="M37" s="1061"/>
    </row>
    <row r="38" spans="1:13" s="1057" customFormat="1">
      <c r="A38" s="1203"/>
      <c r="B38" s="1480">
        <f>margins!BN27</f>
        <v>10.375</v>
      </c>
      <c r="C38" s="1503">
        <v>106.875</v>
      </c>
      <c r="D38"/>
      <c r="E38"/>
      <c r="M38" s="1061"/>
    </row>
    <row r="39" spans="1:13" s="1057" customFormat="1">
      <c r="A39" s="1203"/>
      <c r="B39" s="1480">
        <f>margins!BN28</f>
        <v>10.25</v>
      </c>
      <c r="C39" s="1503">
        <v>106.625</v>
      </c>
      <c r="D39"/>
      <c r="E39"/>
      <c r="M39" s="1061"/>
    </row>
    <row r="40" spans="1:13" s="1057" customFormat="1">
      <c r="A40" s="1203"/>
      <c r="B40" s="1480">
        <f>margins!BN29</f>
        <v>10.125</v>
      </c>
      <c r="C40" s="1503">
        <v>106.375</v>
      </c>
      <c r="D40"/>
      <c r="E40"/>
      <c r="M40" s="1061"/>
    </row>
    <row r="41" spans="1:13" s="1057" customFormat="1">
      <c r="A41" s="1203"/>
      <c r="B41" s="1480">
        <f>margins!BN30</f>
        <v>10</v>
      </c>
      <c r="C41" s="1503">
        <v>106</v>
      </c>
      <c r="D41"/>
      <c r="E41"/>
      <c r="F41"/>
      <c r="G41"/>
      <c r="M41" s="1061"/>
    </row>
    <row r="42" spans="1:13" s="1057" customFormat="1">
      <c r="A42" s="1203"/>
      <c r="B42" s="1480">
        <f>margins!BN31</f>
        <v>9.875</v>
      </c>
      <c r="C42" s="1503">
        <v>105.625</v>
      </c>
      <c r="D42"/>
      <c r="E42"/>
      <c r="F42"/>
      <c r="G42"/>
      <c r="M42" s="1061"/>
    </row>
    <row r="43" spans="1:13" s="1057" customFormat="1">
      <c r="A43" s="1203"/>
      <c r="B43" s="1480">
        <f>margins!BN32</f>
        <v>9.75</v>
      </c>
      <c r="C43" s="1503">
        <v>105.25</v>
      </c>
      <c r="D43"/>
      <c r="F43"/>
      <c r="G43"/>
      <c r="M43" s="1061"/>
    </row>
    <row r="44" spans="1:13" s="1057" customFormat="1">
      <c r="A44" s="1203"/>
      <c r="B44" s="1480">
        <f>margins!BN33</f>
        <v>9.625</v>
      </c>
      <c r="C44" s="1503">
        <v>104.875</v>
      </c>
      <c r="D44"/>
      <c r="F44"/>
      <c r="G44"/>
      <c r="H44" s="1201"/>
      <c r="M44" s="1061"/>
    </row>
    <row r="45" spans="1:13" s="1057" customFormat="1">
      <c r="A45" s="1203"/>
      <c r="B45" s="1480">
        <f>margins!BN34</f>
        <v>9.5</v>
      </c>
      <c r="C45" s="1503" t="e">
        <v>#N/A</v>
      </c>
      <c r="D45"/>
      <c r="F45"/>
      <c r="G45"/>
      <c r="M45" s="1061"/>
    </row>
    <row r="46" spans="1:13" s="1057" customFormat="1">
      <c r="A46" s="1203"/>
      <c r="B46" s="1480">
        <f>margins!BN35</f>
        <v>9.375</v>
      </c>
      <c r="C46" s="1503" t="e">
        <v>#N/A</v>
      </c>
      <c r="D46"/>
      <c r="F46"/>
      <c r="G46"/>
      <c r="M46" s="1061"/>
    </row>
    <row r="47" spans="1:13" s="1057" customFormat="1">
      <c r="A47" s="1203"/>
      <c r="B47" s="1480">
        <f>margins!BN36</f>
        <v>9.25</v>
      </c>
      <c r="C47" s="1503" t="e">
        <v>#N/A</v>
      </c>
      <c r="D47"/>
      <c r="M47" s="1061"/>
    </row>
    <row r="48" spans="1:13" s="1057" customFormat="1">
      <c r="A48" s="1203"/>
      <c r="B48" s="1480">
        <f>margins!BN37</f>
        <v>9.125</v>
      </c>
      <c r="C48" s="1503" t="e">
        <v>#N/A</v>
      </c>
      <c r="D48"/>
      <c r="M48" s="1061"/>
    </row>
    <row r="49" spans="1:13" s="1057" customFormat="1">
      <c r="A49" s="1203"/>
      <c r="B49" s="1480">
        <f>margins!BN38</f>
        <v>9</v>
      </c>
      <c r="C49" s="1503" t="e">
        <v>#N/A</v>
      </c>
      <c r="D49"/>
      <c r="M49" s="1061"/>
    </row>
    <row r="50" spans="1:13" s="1057" customFormat="1">
      <c r="A50" s="1203"/>
      <c r="B50" s="1480">
        <f>margins!BN39</f>
        <v>8.875</v>
      </c>
      <c r="C50" s="1503" t="e">
        <v>#N/A</v>
      </c>
      <c r="D50"/>
      <c r="M50" s="1061"/>
    </row>
    <row r="51" spans="1:13" s="1057" customFormat="1">
      <c r="A51" s="1203"/>
      <c r="B51" s="1480">
        <f>margins!BN40</f>
        <v>8.75</v>
      </c>
      <c r="C51" s="1503" t="e">
        <v>#N/A</v>
      </c>
      <c r="D51"/>
      <c r="K51" s="1333"/>
      <c r="L51" s="1333"/>
      <c r="M51" s="1474"/>
    </row>
    <row r="52" spans="1:13" s="1057" customFormat="1">
      <c r="A52" s="1203"/>
      <c r="B52" s="1480">
        <f>margins!BN41</f>
        <v>8.625</v>
      </c>
      <c r="C52" s="1503" t="e">
        <v>#N/A</v>
      </c>
      <c r="D52"/>
      <c r="K52" s="1249"/>
      <c r="L52" s="1249"/>
      <c r="M52" s="1471"/>
    </row>
    <row r="53" spans="1:13" s="1057" customFormat="1" ht="15.75" thickBot="1">
      <c r="A53" s="1203"/>
      <c r="B53" s="1490">
        <f>margins!BN42</f>
        <v>8.5</v>
      </c>
      <c r="C53" s="1504" t="e">
        <v>#N/A</v>
      </c>
      <c r="D53"/>
      <c r="M53" s="1061"/>
    </row>
    <row r="54" spans="1:13" s="1057" customFormat="1" ht="15.75" thickBot="1">
      <c r="A54" s="1203"/>
      <c r="C54" s="1271"/>
      <c r="D54" s="1271"/>
      <c r="E54" s="1271"/>
      <c r="F54" s="1279"/>
      <c r="G54" s="1325"/>
      <c r="H54" s="1279"/>
      <c r="I54" s="1279"/>
      <c r="J54" s="1325"/>
      <c r="K54" s="1325"/>
      <c r="L54" s="1325"/>
      <c r="M54" s="1434"/>
    </row>
    <row r="55" spans="1:13" s="1057" customFormat="1" ht="15" customHeight="1" thickBot="1">
      <c r="A55" s="1203"/>
      <c r="B55" s="1202" t="s">
        <v>244</v>
      </c>
      <c r="C55" s="1202"/>
      <c r="D55" s="1743" t="s">
        <v>329</v>
      </c>
      <c r="E55" s="1744"/>
      <c r="F55" s="1744"/>
      <c r="G55" s="1744"/>
      <c r="H55" s="1744"/>
      <c r="I55" s="1744"/>
      <c r="J55" s="1745"/>
      <c r="K55"/>
      <c r="L55"/>
      <c r="M55" s="1434"/>
    </row>
    <row r="56" spans="1:13" s="1057" customFormat="1" ht="15.75" thickBot="1">
      <c r="A56" s="1203"/>
      <c r="B56" s="1441"/>
      <c r="C56" s="1455" t="s">
        <v>203</v>
      </c>
      <c r="D56" s="1222" t="s">
        <v>15</v>
      </c>
      <c r="E56" s="1425" t="s">
        <v>16</v>
      </c>
      <c r="F56" s="1425" t="s">
        <v>17</v>
      </c>
      <c r="G56" s="1425" t="s">
        <v>18</v>
      </c>
      <c r="H56" s="1425" t="s">
        <v>19</v>
      </c>
      <c r="I56" s="1425" t="s">
        <v>20</v>
      </c>
      <c r="J56" s="1440" t="s">
        <v>21</v>
      </c>
      <c r="K56"/>
      <c r="L56"/>
      <c r="M56" s="1434"/>
    </row>
    <row r="57" spans="1:13" s="1057" customFormat="1">
      <c r="A57" s="1203"/>
      <c r="B57" s="1335"/>
      <c r="C57" s="1426" t="s">
        <v>410</v>
      </c>
      <c r="D57" s="1213">
        <v>1.875</v>
      </c>
      <c r="E57" s="1212">
        <v>1.875</v>
      </c>
      <c r="F57" s="1212">
        <v>1.625</v>
      </c>
      <c r="G57" s="1212">
        <v>1.375</v>
      </c>
      <c r="H57" s="1212">
        <v>1.125</v>
      </c>
      <c r="I57" s="1212">
        <v>0.25</v>
      </c>
      <c r="J57" s="1211">
        <v>-0.625</v>
      </c>
      <c r="K57"/>
      <c r="L57"/>
      <c r="M57" s="1434"/>
    </row>
    <row r="58" spans="1:13" s="1057" customFormat="1">
      <c r="A58" s="1203"/>
      <c r="B58" s="1505"/>
      <c r="C58" s="1427" t="s">
        <v>325</v>
      </c>
      <c r="D58" s="1216">
        <v>1.875</v>
      </c>
      <c r="E58" s="1215">
        <v>1.875</v>
      </c>
      <c r="F58" s="1215">
        <v>1.625</v>
      </c>
      <c r="G58" s="1215">
        <v>1.375</v>
      </c>
      <c r="H58" s="1215">
        <v>1.125</v>
      </c>
      <c r="I58" s="1215">
        <v>0.125</v>
      </c>
      <c r="J58" s="1214">
        <v>-0.75</v>
      </c>
      <c r="K58"/>
      <c r="L58"/>
      <c r="M58" s="1434"/>
    </row>
    <row r="59" spans="1:13" s="1057" customFormat="1">
      <c r="A59" s="1203"/>
      <c r="B59" s="1435"/>
      <c r="C59" s="1427" t="s">
        <v>324</v>
      </c>
      <c r="D59" s="1216">
        <v>1.375</v>
      </c>
      <c r="E59" s="1215">
        <v>1.375</v>
      </c>
      <c r="F59" s="1215">
        <v>1.125</v>
      </c>
      <c r="G59" s="1215">
        <v>0.875</v>
      </c>
      <c r="H59" s="1215">
        <v>0.625</v>
      </c>
      <c r="I59" s="1215">
        <v>-0.5</v>
      </c>
      <c r="J59" s="1214">
        <v>-1.5</v>
      </c>
      <c r="K59"/>
      <c r="L59"/>
      <c r="M59" s="1434"/>
    </row>
    <row r="60" spans="1:13" s="1057" customFormat="1">
      <c r="A60" s="1203"/>
      <c r="B60" s="1427" t="s">
        <v>202</v>
      </c>
      <c r="C60" s="1427" t="s">
        <v>323</v>
      </c>
      <c r="D60" s="1216">
        <v>1</v>
      </c>
      <c r="E60" s="1215">
        <v>1</v>
      </c>
      <c r="F60" s="1215">
        <v>0.625</v>
      </c>
      <c r="G60" s="1215">
        <v>0.375</v>
      </c>
      <c r="H60" s="1215">
        <v>0.125</v>
      </c>
      <c r="I60" s="1215">
        <v>-1.125</v>
      </c>
      <c r="J60" s="1214">
        <v>-2.75</v>
      </c>
      <c r="K60"/>
      <c r="L60"/>
      <c r="M60" s="1434"/>
    </row>
    <row r="61" spans="1:13" s="1057" customFormat="1">
      <c r="A61" s="1203"/>
      <c r="B61" s="1427" t="s">
        <v>343</v>
      </c>
      <c r="C61" s="1427" t="s">
        <v>322</v>
      </c>
      <c r="D61" s="1216">
        <v>0.125</v>
      </c>
      <c r="E61" s="1215">
        <v>0.125</v>
      </c>
      <c r="F61" s="1215">
        <v>-0.375</v>
      </c>
      <c r="G61" s="1215">
        <v>-0.75</v>
      </c>
      <c r="H61" s="1215">
        <v>-1</v>
      </c>
      <c r="I61" s="1215">
        <v>-2</v>
      </c>
      <c r="J61" s="1214">
        <v>-4</v>
      </c>
      <c r="K61"/>
      <c r="L61"/>
      <c r="M61" s="1434"/>
    </row>
    <row r="62" spans="1:13" s="1057" customFormat="1">
      <c r="A62" s="1203"/>
      <c r="B62" s="1435"/>
      <c r="C62" s="1427" t="s">
        <v>321</v>
      </c>
      <c r="D62" s="1216">
        <v>-0.75</v>
      </c>
      <c r="E62" s="1215">
        <v>-0.75</v>
      </c>
      <c r="F62" s="1215">
        <v>-1.375</v>
      </c>
      <c r="G62" s="1215">
        <v>-1.875</v>
      </c>
      <c r="H62" s="1215">
        <v>-2.375</v>
      </c>
      <c r="I62" s="1215">
        <v>-3.125</v>
      </c>
      <c r="J62" s="1214">
        <v>-5.5</v>
      </c>
      <c r="K62"/>
      <c r="L62"/>
      <c r="M62" s="1434"/>
    </row>
    <row r="63" spans="1:13" s="1057" customFormat="1">
      <c r="A63" s="1203"/>
      <c r="B63" s="1435"/>
      <c r="C63" s="1427" t="s">
        <v>320</v>
      </c>
      <c r="D63" s="1294">
        <v>-3</v>
      </c>
      <c r="E63" s="1293">
        <v>-3</v>
      </c>
      <c r="F63" s="1293">
        <v>-3.75</v>
      </c>
      <c r="G63" s="1293">
        <v>-4.125</v>
      </c>
      <c r="H63" s="1293">
        <v>-4.75</v>
      </c>
      <c r="I63" s="1293">
        <v>-5.75</v>
      </c>
      <c r="J63" s="1292" t="s">
        <v>14</v>
      </c>
      <c r="K63"/>
      <c r="L63"/>
      <c r="M63" s="1434"/>
    </row>
    <row r="64" spans="1:13" s="1057" customFormat="1" ht="15.75" thickBot="1">
      <c r="A64" s="1203"/>
      <c r="B64" s="1436"/>
      <c r="C64" s="1210" t="s">
        <v>319</v>
      </c>
      <c r="D64" s="1278">
        <v>-4.25</v>
      </c>
      <c r="E64" s="1277">
        <v>-4.375</v>
      </c>
      <c r="F64" s="1277">
        <v>-4.875</v>
      </c>
      <c r="G64" s="1277">
        <v>-5.5</v>
      </c>
      <c r="H64" s="1277">
        <v>-6</v>
      </c>
      <c r="I64" s="1277" t="s">
        <v>14</v>
      </c>
      <c r="J64" s="1276" t="s">
        <v>14</v>
      </c>
      <c r="K64"/>
      <c r="L64"/>
      <c r="M64" s="1434"/>
    </row>
    <row r="65" spans="1:13" s="1057" customFormat="1">
      <c r="A65" s="1203"/>
      <c r="B65" s="1335"/>
      <c r="C65" s="1427" t="s">
        <v>410</v>
      </c>
      <c r="D65" s="1213">
        <v>0.875</v>
      </c>
      <c r="E65" s="1212">
        <v>0.875</v>
      </c>
      <c r="F65" s="1212">
        <v>0.625</v>
      </c>
      <c r="G65" s="1212">
        <v>0.25</v>
      </c>
      <c r="H65" s="1212">
        <v>0</v>
      </c>
      <c r="I65" s="1212">
        <v>-1</v>
      </c>
      <c r="J65" s="1211">
        <v>-1.875</v>
      </c>
      <c r="K65"/>
      <c r="L65"/>
      <c r="M65" s="1434"/>
    </row>
    <row r="66" spans="1:13" s="1057" customFormat="1">
      <c r="A66" s="1203"/>
      <c r="B66" s="1427"/>
      <c r="C66" s="1427" t="s">
        <v>325</v>
      </c>
      <c r="D66" s="1216">
        <v>0.875</v>
      </c>
      <c r="E66" s="1215">
        <v>0.875</v>
      </c>
      <c r="F66" s="1215">
        <v>0.625</v>
      </c>
      <c r="G66" s="1215">
        <v>0.25</v>
      </c>
      <c r="H66" s="1215">
        <v>0</v>
      </c>
      <c r="I66" s="1215">
        <v>-1.125</v>
      </c>
      <c r="J66" s="1214">
        <v>-2</v>
      </c>
      <c r="K66"/>
      <c r="L66"/>
      <c r="M66" s="1434"/>
    </row>
    <row r="67" spans="1:13" s="1057" customFormat="1">
      <c r="A67" s="1203"/>
      <c r="B67" s="1507"/>
      <c r="C67" s="1427" t="s">
        <v>324</v>
      </c>
      <c r="D67" s="1216">
        <v>0.375</v>
      </c>
      <c r="E67" s="1215">
        <v>0.375</v>
      </c>
      <c r="F67" s="1215">
        <v>0.125</v>
      </c>
      <c r="G67" s="1215">
        <v>-0.25</v>
      </c>
      <c r="H67" s="1215">
        <v>-0.5</v>
      </c>
      <c r="I67" s="1215">
        <v>-1.75</v>
      </c>
      <c r="J67" s="1214">
        <v>-2.75</v>
      </c>
      <c r="K67"/>
      <c r="L67"/>
      <c r="M67" s="1434"/>
    </row>
    <row r="68" spans="1:13" s="1057" customFormat="1" ht="15" customHeight="1">
      <c r="A68" s="1203"/>
      <c r="B68" s="1499" t="s">
        <v>752</v>
      </c>
      <c r="C68" s="1427" t="s">
        <v>323</v>
      </c>
      <c r="D68" s="1216">
        <v>0</v>
      </c>
      <c r="E68" s="1215">
        <v>0</v>
      </c>
      <c r="F68" s="1215">
        <v>-0.375</v>
      </c>
      <c r="G68" s="1215">
        <v>-0.75</v>
      </c>
      <c r="H68" s="1215">
        <v>-1</v>
      </c>
      <c r="I68" s="1215">
        <v>-2.375</v>
      </c>
      <c r="J68" s="1214">
        <v>-4</v>
      </c>
      <c r="K68"/>
      <c r="L68"/>
      <c r="M68" s="1434"/>
    </row>
    <row r="69" spans="1:13" s="1057" customFormat="1">
      <c r="A69" s="1203"/>
      <c r="B69" s="1427">
        <v>1099</v>
      </c>
      <c r="C69" s="1427" t="s">
        <v>322</v>
      </c>
      <c r="D69" s="1216">
        <v>-0.625</v>
      </c>
      <c r="E69" s="1215">
        <v>-0.625</v>
      </c>
      <c r="F69" s="1215">
        <v>-1.125</v>
      </c>
      <c r="G69" s="1215">
        <v>-1.625</v>
      </c>
      <c r="H69" s="1215">
        <v>-1.875</v>
      </c>
      <c r="I69" s="1215">
        <v>-3</v>
      </c>
      <c r="J69" s="1214">
        <v>-5.125</v>
      </c>
      <c r="K69"/>
      <c r="L69"/>
      <c r="M69" s="1434"/>
    </row>
    <row r="70" spans="1:13" s="1057" customFormat="1">
      <c r="A70" s="1203"/>
      <c r="B70" s="1427"/>
      <c r="C70" s="1427" t="s">
        <v>321</v>
      </c>
      <c r="D70" s="1216">
        <v>-1.625</v>
      </c>
      <c r="E70" s="1215">
        <v>-1.625</v>
      </c>
      <c r="F70" s="1215">
        <v>-2.25</v>
      </c>
      <c r="G70" s="1215">
        <v>-2.875</v>
      </c>
      <c r="H70" s="1215">
        <v>-3.375</v>
      </c>
      <c r="I70" s="1215">
        <v>-4.25</v>
      </c>
      <c r="J70" s="1214" t="s">
        <v>14</v>
      </c>
      <c r="K70"/>
      <c r="L70"/>
      <c r="M70" s="1434"/>
    </row>
    <row r="71" spans="1:13" s="1057" customFormat="1">
      <c r="A71" s="1203"/>
      <c r="B71" s="1427"/>
      <c r="C71" s="1427" t="s">
        <v>320</v>
      </c>
      <c r="D71" s="1216">
        <v>-4</v>
      </c>
      <c r="E71" s="1215">
        <v>-4</v>
      </c>
      <c r="F71" s="1215">
        <v>-4.75</v>
      </c>
      <c r="G71" s="1215">
        <v>-5.25</v>
      </c>
      <c r="H71" s="1215">
        <v>-5.875</v>
      </c>
      <c r="I71" s="1215" t="s">
        <v>14</v>
      </c>
      <c r="J71" s="1214" t="s">
        <v>14</v>
      </c>
      <c r="K71"/>
      <c r="L71"/>
      <c r="M71" s="1434"/>
    </row>
    <row r="72" spans="1:13" s="1057" customFormat="1" ht="15.75" thickBot="1">
      <c r="A72" s="1203"/>
      <c r="B72" s="1436"/>
      <c r="C72" s="1210" t="s">
        <v>319</v>
      </c>
      <c r="D72" s="1278">
        <v>-5.75</v>
      </c>
      <c r="E72" s="1277">
        <v>-5.875</v>
      </c>
      <c r="F72" s="1277">
        <v>-6.375</v>
      </c>
      <c r="G72" s="1277" t="s">
        <v>14</v>
      </c>
      <c r="H72" s="1277" t="s">
        <v>14</v>
      </c>
      <c r="I72" s="1277" t="s">
        <v>14</v>
      </c>
      <c r="J72" s="1276" t="s">
        <v>14</v>
      </c>
      <c r="K72"/>
      <c r="L72"/>
      <c r="M72" s="1434"/>
    </row>
    <row r="73" spans="1:13" s="1057" customFormat="1">
      <c r="A73" s="1203"/>
      <c r="B73" s="1335"/>
      <c r="C73" s="1426" t="s">
        <v>410</v>
      </c>
      <c r="D73" s="1213">
        <v>-0.5</v>
      </c>
      <c r="E73" s="1212">
        <v>-0.5</v>
      </c>
      <c r="F73" s="1212">
        <v>-0.75</v>
      </c>
      <c r="G73" s="1212">
        <v>-1.375</v>
      </c>
      <c r="H73" s="1212">
        <v>-1.625</v>
      </c>
      <c r="I73" s="1212">
        <v>-2.75</v>
      </c>
      <c r="J73" s="1211">
        <v>-3.75</v>
      </c>
      <c r="K73"/>
      <c r="L73"/>
      <c r="M73" s="1434"/>
    </row>
    <row r="74" spans="1:13" s="1057" customFormat="1">
      <c r="A74" s="1203"/>
      <c r="B74" s="1435"/>
      <c r="C74" s="1427" t="s">
        <v>325</v>
      </c>
      <c r="D74" s="1216">
        <v>-0.5</v>
      </c>
      <c r="E74" s="1215">
        <v>-0.5</v>
      </c>
      <c r="F74" s="1215">
        <v>-0.75</v>
      </c>
      <c r="G74" s="1215">
        <v>-1.375</v>
      </c>
      <c r="H74" s="1215">
        <v>-1.625</v>
      </c>
      <c r="I74" s="1215">
        <v>-2.875</v>
      </c>
      <c r="J74" s="1214">
        <v>-4</v>
      </c>
      <c r="K74"/>
      <c r="L74"/>
      <c r="M74" s="1434"/>
    </row>
    <row r="75" spans="1:13" s="1057" customFormat="1">
      <c r="A75" s="1203"/>
      <c r="B75" s="1435"/>
      <c r="C75" s="1427" t="s">
        <v>324</v>
      </c>
      <c r="D75" s="1216">
        <v>-1</v>
      </c>
      <c r="E75" s="1215">
        <v>-1</v>
      </c>
      <c r="F75" s="1215">
        <v>-1.25</v>
      </c>
      <c r="G75" s="1215">
        <v>-1.875</v>
      </c>
      <c r="H75" s="1215">
        <v>-2.125</v>
      </c>
      <c r="I75" s="1215">
        <v>-3.5</v>
      </c>
      <c r="J75" s="1214">
        <v>-4.75</v>
      </c>
      <c r="K75"/>
      <c r="L75"/>
      <c r="M75" s="1434"/>
    </row>
    <row r="76" spans="1:13" s="1057" customFormat="1">
      <c r="A76" s="1203"/>
      <c r="B76" s="1427" t="s">
        <v>553</v>
      </c>
      <c r="C76" s="1427" t="s">
        <v>323</v>
      </c>
      <c r="D76" s="1216">
        <v>-1.375</v>
      </c>
      <c r="E76" s="1215">
        <v>-1.375</v>
      </c>
      <c r="F76" s="1215">
        <v>-1.75</v>
      </c>
      <c r="G76" s="1215">
        <v>-2.375</v>
      </c>
      <c r="H76" s="1215">
        <v>-2.625</v>
      </c>
      <c r="I76" s="1215">
        <v>-4.125</v>
      </c>
      <c r="J76" s="1214">
        <v>-6</v>
      </c>
      <c r="K76"/>
      <c r="L76"/>
      <c r="M76" s="1434"/>
    </row>
    <row r="77" spans="1:13" s="1057" customFormat="1">
      <c r="A77" s="1203"/>
      <c r="B77" s="1427" t="s">
        <v>89</v>
      </c>
      <c r="C77" s="1427" t="s">
        <v>322</v>
      </c>
      <c r="D77" s="1216">
        <v>-2.125</v>
      </c>
      <c r="E77" s="1215">
        <v>-2.125</v>
      </c>
      <c r="F77" s="1215">
        <v>-2.625</v>
      </c>
      <c r="G77" s="1215">
        <v>-3.375</v>
      </c>
      <c r="H77" s="1215">
        <v>-3.625</v>
      </c>
      <c r="I77" s="1215">
        <v>-4.875</v>
      </c>
      <c r="J77" s="1214">
        <v>-7.25</v>
      </c>
      <c r="K77"/>
      <c r="L77"/>
      <c r="M77" s="1434"/>
    </row>
    <row r="78" spans="1:13" s="1057" customFormat="1">
      <c r="A78" s="1203"/>
      <c r="B78" s="1427"/>
      <c r="C78" s="1427" t="s">
        <v>321</v>
      </c>
      <c r="D78" s="1216">
        <v>-3.375</v>
      </c>
      <c r="E78" s="1215">
        <v>-3.375</v>
      </c>
      <c r="F78" s="1215">
        <v>-4</v>
      </c>
      <c r="G78" s="1215">
        <v>-4.75</v>
      </c>
      <c r="H78" s="1215">
        <v>-5.25</v>
      </c>
      <c r="I78" s="1215" t="s">
        <v>14</v>
      </c>
      <c r="J78" s="1214" t="s">
        <v>14</v>
      </c>
      <c r="K78"/>
      <c r="L78"/>
      <c r="M78" s="1434"/>
    </row>
    <row r="79" spans="1:13" s="1057" customFormat="1">
      <c r="A79" s="1203"/>
      <c r="B79" s="1427"/>
      <c r="C79" s="1427" t="s">
        <v>320</v>
      </c>
      <c r="D79" s="1216">
        <v>-5.75</v>
      </c>
      <c r="E79" s="1215">
        <v>-5.75</v>
      </c>
      <c r="F79" s="1215">
        <v>-6.5</v>
      </c>
      <c r="G79" s="1215">
        <v>-7.125</v>
      </c>
      <c r="H79" s="1215" t="s">
        <v>14</v>
      </c>
      <c r="I79" s="1215" t="s">
        <v>14</v>
      </c>
      <c r="J79" s="1214" t="s">
        <v>14</v>
      </c>
      <c r="K79"/>
      <c r="L79"/>
      <c r="M79" s="1434"/>
    </row>
    <row r="80" spans="1:13" s="1057" customFormat="1" ht="15.75" thickBot="1">
      <c r="A80" s="1203"/>
      <c r="B80" s="1210"/>
      <c r="C80" s="1210" t="s">
        <v>319</v>
      </c>
      <c r="D80" s="1209">
        <v>-7.75</v>
      </c>
      <c r="E80" s="1208">
        <v>-7.875</v>
      </c>
      <c r="F80" s="1208">
        <v>-8.375</v>
      </c>
      <c r="G80" s="1208" t="s">
        <v>14</v>
      </c>
      <c r="H80" s="1208" t="s">
        <v>14</v>
      </c>
      <c r="I80" s="1208" t="s">
        <v>14</v>
      </c>
      <c r="J80" s="1207" t="s">
        <v>14</v>
      </c>
      <c r="K80"/>
      <c r="L80"/>
      <c r="M80" s="1434"/>
    </row>
    <row r="81" spans="1:13" s="1057" customFormat="1">
      <c r="A81" s="1203"/>
      <c r="B81" s="1427"/>
      <c r="C81" s="1427" t="s">
        <v>317</v>
      </c>
      <c r="D81" s="1463">
        <v>0</v>
      </c>
      <c r="E81" s="1279">
        <v>0</v>
      </c>
      <c r="F81" s="1279">
        <v>0</v>
      </c>
      <c r="G81" s="1279">
        <v>0</v>
      </c>
      <c r="H81" s="1279">
        <v>0</v>
      </c>
      <c r="I81" s="1279">
        <v>0</v>
      </c>
      <c r="J81" s="1434">
        <v>0</v>
      </c>
      <c r="K81"/>
      <c r="L81"/>
      <c r="M81" s="1434"/>
    </row>
    <row r="82" spans="1:13" s="1057" customFormat="1">
      <c r="A82" s="1203"/>
      <c r="B82" s="1427" t="s">
        <v>318</v>
      </c>
      <c r="C82" s="1427" t="s">
        <v>316</v>
      </c>
      <c r="D82" s="1463">
        <v>0</v>
      </c>
      <c r="E82" s="1279">
        <v>0</v>
      </c>
      <c r="F82" s="1279">
        <v>0</v>
      </c>
      <c r="G82" s="1279">
        <v>0</v>
      </c>
      <c r="H82" s="1279">
        <v>0</v>
      </c>
      <c r="I82" s="1279">
        <v>0</v>
      </c>
      <c r="J82" s="1434">
        <v>0</v>
      </c>
      <c r="K82"/>
      <c r="L82"/>
      <c r="M82" s="1434"/>
    </row>
    <row r="83" spans="1:13" s="1057" customFormat="1" ht="15.75" thickBot="1">
      <c r="A83" s="1203"/>
      <c r="B83" s="1427"/>
      <c r="C83" s="1427" t="s">
        <v>315</v>
      </c>
      <c r="D83" s="1463">
        <v>0</v>
      </c>
      <c r="E83" s="1279">
        <v>0</v>
      </c>
      <c r="F83" s="1279">
        <v>0</v>
      </c>
      <c r="G83" s="1279">
        <v>0</v>
      </c>
      <c r="H83" s="1279">
        <v>0</v>
      </c>
      <c r="I83" s="1279">
        <v>0</v>
      </c>
      <c r="J83" s="1434">
        <v>0</v>
      </c>
      <c r="K83"/>
      <c r="L83"/>
      <c r="M83" s="1434"/>
    </row>
    <row r="84" spans="1:13" s="1057" customFormat="1">
      <c r="A84" s="1203"/>
      <c r="B84" s="1788" t="s">
        <v>210</v>
      </c>
      <c r="C84" s="1426" t="s">
        <v>314</v>
      </c>
      <c r="D84" s="1213">
        <v>0.5</v>
      </c>
      <c r="E84" s="1212">
        <v>0.5</v>
      </c>
      <c r="F84" s="1212">
        <v>0.5</v>
      </c>
      <c r="G84" s="1212">
        <v>0.5</v>
      </c>
      <c r="H84" s="1212">
        <v>0.5</v>
      </c>
      <c r="I84" s="1212">
        <v>0.5</v>
      </c>
      <c r="J84" s="1211">
        <v>0.5</v>
      </c>
      <c r="K84"/>
      <c r="L84"/>
      <c r="M84" s="1434"/>
    </row>
    <row r="85" spans="1:13" s="1057" customFormat="1">
      <c r="A85" s="1203"/>
      <c r="B85" s="1749"/>
      <c r="C85" s="1427" t="s">
        <v>313</v>
      </c>
      <c r="D85" s="1216">
        <v>0.5</v>
      </c>
      <c r="E85" s="1215">
        <v>0.5</v>
      </c>
      <c r="F85" s="1215">
        <v>0.5</v>
      </c>
      <c r="G85" s="1215">
        <v>0.5</v>
      </c>
      <c r="H85" s="1215">
        <v>0.5</v>
      </c>
      <c r="I85" s="1215">
        <v>0.5</v>
      </c>
      <c r="J85" s="1214">
        <v>0.5</v>
      </c>
      <c r="K85"/>
      <c r="L85"/>
      <c r="M85" s="1434"/>
    </row>
    <row r="86" spans="1:13" s="1057" customFormat="1">
      <c r="A86" s="1203"/>
      <c r="B86" s="1749"/>
      <c r="C86" s="1427" t="s">
        <v>312</v>
      </c>
      <c r="D86" s="1216">
        <v>0.375</v>
      </c>
      <c r="E86" s="1215">
        <v>0.375</v>
      </c>
      <c r="F86" s="1215">
        <v>0.375</v>
      </c>
      <c r="G86" s="1215">
        <v>0.375</v>
      </c>
      <c r="H86" s="1215">
        <v>0.375</v>
      </c>
      <c r="I86" s="1215">
        <v>0.375</v>
      </c>
      <c r="J86" s="1214">
        <v>0.375</v>
      </c>
      <c r="K86"/>
      <c r="L86"/>
      <c r="M86" s="1434"/>
    </row>
    <row r="87" spans="1:13" s="1057" customFormat="1" ht="15.75" thickBot="1">
      <c r="A87" s="1203"/>
      <c r="B87" s="1789"/>
      <c r="C87" s="1210" t="s">
        <v>311</v>
      </c>
      <c r="D87" s="1278">
        <v>0</v>
      </c>
      <c r="E87" s="1277">
        <v>0</v>
      </c>
      <c r="F87" s="1277">
        <v>0</v>
      </c>
      <c r="G87" s="1277">
        <v>0</v>
      </c>
      <c r="H87" s="1277">
        <v>0</v>
      </c>
      <c r="I87" s="1277">
        <v>0</v>
      </c>
      <c r="J87" s="1276">
        <v>0</v>
      </c>
      <c r="K87"/>
      <c r="L87"/>
      <c r="M87" s="1434"/>
    </row>
    <row r="88" spans="1:13" s="1057" customFormat="1">
      <c r="A88" s="1203"/>
      <c r="B88" s="1788" t="s">
        <v>310</v>
      </c>
      <c r="C88" s="1427" t="s">
        <v>753</v>
      </c>
      <c r="D88" s="1275">
        <v>-0.25</v>
      </c>
      <c r="E88" s="1274">
        <v>-0.25</v>
      </c>
      <c r="F88" s="1274">
        <v>-0.25</v>
      </c>
      <c r="G88" s="1274">
        <v>-0.25</v>
      </c>
      <c r="H88" s="1274">
        <v>-0.25</v>
      </c>
      <c r="I88" s="1274">
        <v>-0.25</v>
      </c>
      <c r="J88" s="1273">
        <v>-0.25</v>
      </c>
      <c r="K88"/>
      <c r="L88"/>
      <c r="M88" s="1434"/>
    </row>
    <row r="89" spans="1:13" s="1057" customFormat="1">
      <c r="A89" s="1203"/>
      <c r="B89" s="1749"/>
      <c r="C89" s="1427" t="s">
        <v>754</v>
      </c>
      <c r="D89" s="1275">
        <v>0</v>
      </c>
      <c r="E89" s="1274">
        <v>0</v>
      </c>
      <c r="F89" s="1274">
        <v>0</v>
      </c>
      <c r="G89" s="1274">
        <v>0</v>
      </c>
      <c r="H89" s="1274">
        <v>0</v>
      </c>
      <c r="I89" s="1274">
        <v>0</v>
      </c>
      <c r="J89" s="1273">
        <v>0</v>
      </c>
      <c r="K89"/>
      <c r="L89"/>
      <c r="M89" s="1434"/>
    </row>
    <row r="90" spans="1:13" s="1057" customFormat="1">
      <c r="A90" s="1203"/>
      <c r="B90" s="1749"/>
      <c r="C90" s="1427" t="s">
        <v>755</v>
      </c>
      <c r="D90" s="1275">
        <v>0</v>
      </c>
      <c r="E90" s="1274">
        <v>0</v>
      </c>
      <c r="F90" s="1274">
        <v>0</v>
      </c>
      <c r="G90" s="1274">
        <v>0</v>
      </c>
      <c r="H90" s="1274">
        <v>0</v>
      </c>
      <c r="I90" s="1274">
        <v>0</v>
      </c>
      <c r="J90" s="1273">
        <v>0</v>
      </c>
      <c r="K90"/>
      <c r="L90"/>
      <c r="M90" s="1434"/>
    </row>
    <row r="91" spans="1:13" s="1057" customFormat="1">
      <c r="A91" s="1203"/>
      <c r="B91" s="1749"/>
      <c r="C91" s="1427" t="s">
        <v>756</v>
      </c>
      <c r="D91" s="1275">
        <v>0</v>
      </c>
      <c r="E91" s="1274">
        <v>0</v>
      </c>
      <c r="F91" s="1274">
        <v>0</v>
      </c>
      <c r="G91" s="1274">
        <v>0</v>
      </c>
      <c r="H91" s="1274">
        <v>0</v>
      </c>
      <c r="I91" s="1274">
        <v>0</v>
      </c>
      <c r="J91" s="1273">
        <v>0</v>
      </c>
      <c r="K91"/>
      <c r="L91"/>
      <c r="M91" s="1434"/>
    </row>
    <row r="92" spans="1:13" s="1057" customFormat="1">
      <c r="A92" s="1203"/>
      <c r="B92" s="1749"/>
      <c r="C92" s="1427" t="s">
        <v>757</v>
      </c>
      <c r="D92" s="1275">
        <v>0</v>
      </c>
      <c r="E92" s="1274">
        <v>0</v>
      </c>
      <c r="F92" s="1274">
        <v>0</v>
      </c>
      <c r="G92" s="1274">
        <v>0</v>
      </c>
      <c r="H92" s="1274">
        <v>0</v>
      </c>
      <c r="I92" s="1274">
        <v>0</v>
      </c>
      <c r="J92" s="1273">
        <v>0</v>
      </c>
      <c r="K92"/>
      <c r="L92"/>
      <c r="M92" s="1434"/>
    </row>
    <row r="93" spans="1:13" s="1057" customFormat="1">
      <c r="A93" s="1203"/>
      <c r="B93" s="1749"/>
      <c r="C93" s="1427" t="s">
        <v>758</v>
      </c>
      <c r="D93" s="1216">
        <v>0</v>
      </c>
      <c r="E93" s="1215">
        <v>0</v>
      </c>
      <c r="F93" s="1215">
        <v>0</v>
      </c>
      <c r="G93" s="1215">
        <v>0</v>
      </c>
      <c r="H93" s="1215">
        <v>0</v>
      </c>
      <c r="I93" s="1215">
        <v>0</v>
      </c>
      <c r="J93" s="1214">
        <v>0</v>
      </c>
      <c r="K93"/>
      <c r="L93"/>
      <c r="M93" s="1434"/>
    </row>
    <row r="94" spans="1:13" s="1057" customFormat="1">
      <c r="A94" s="1203"/>
      <c r="B94" s="1749"/>
      <c r="C94" s="1427" t="s">
        <v>759</v>
      </c>
      <c r="D94" s="1216">
        <v>0</v>
      </c>
      <c r="E94" s="1215">
        <v>0</v>
      </c>
      <c r="F94" s="1215">
        <v>0</v>
      </c>
      <c r="G94" s="1215">
        <v>0</v>
      </c>
      <c r="H94" s="1215">
        <v>0</v>
      </c>
      <c r="I94" s="1215">
        <v>0</v>
      </c>
      <c r="J94" s="1214">
        <v>0</v>
      </c>
      <c r="K94"/>
      <c r="L94"/>
      <c r="M94" s="1434"/>
    </row>
    <row r="95" spans="1:13" s="1057" customFormat="1">
      <c r="A95" s="1203"/>
      <c r="B95" s="1749"/>
      <c r="C95" s="1427" t="s">
        <v>760</v>
      </c>
      <c r="D95" s="1216">
        <v>0</v>
      </c>
      <c r="E95" s="1215">
        <v>0</v>
      </c>
      <c r="F95" s="1215">
        <v>0</v>
      </c>
      <c r="G95" s="1215">
        <v>0</v>
      </c>
      <c r="H95" s="1215">
        <v>0</v>
      </c>
      <c r="I95" s="1215">
        <v>0</v>
      </c>
      <c r="J95" s="1214">
        <v>0</v>
      </c>
      <c r="K95"/>
      <c r="L95"/>
      <c r="M95" s="1475"/>
    </row>
    <row r="96" spans="1:13" s="1057" customFormat="1" ht="15.75" thickBot="1">
      <c r="A96" s="1203"/>
      <c r="B96" s="1789"/>
      <c r="C96" s="1427" t="s">
        <v>761</v>
      </c>
      <c r="D96" s="1294">
        <v>0</v>
      </c>
      <c r="E96" s="1293">
        <v>0</v>
      </c>
      <c r="F96" s="1293">
        <v>0</v>
      </c>
      <c r="G96" s="1293">
        <v>0</v>
      </c>
      <c r="H96" s="1293">
        <v>0</v>
      </c>
      <c r="I96" s="1293">
        <v>0</v>
      </c>
      <c r="J96" s="1292">
        <v>0</v>
      </c>
      <c r="K96"/>
      <c r="L96"/>
      <c r="M96" s="1476"/>
    </row>
    <row r="97" spans="1:13" s="1057" customFormat="1">
      <c r="A97" s="1203"/>
      <c r="B97" s="1788" t="s">
        <v>45</v>
      </c>
      <c r="C97" s="1426" t="s">
        <v>762</v>
      </c>
      <c r="D97" s="1213">
        <v>-0.25</v>
      </c>
      <c r="E97" s="1212">
        <v>-0.25</v>
      </c>
      <c r="F97" s="1212">
        <v>-0.25</v>
      </c>
      <c r="G97" s="1212">
        <v>-0.375</v>
      </c>
      <c r="H97" s="1212">
        <v>-0.375</v>
      </c>
      <c r="I97" s="1212">
        <v>-0.375</v>
      </c>
      <c r="J97" s="1211">
        <v>-0.5</v>
      </c>
      <c r="K97"/>
      <c r="L97"/>
      <c r="M97" s="1061"/>
    </row>
    <row r="98" spans="1:13" s="1057" customFormat="1" ht="15.75" thickBot="1">
      <c r="A98" s="1203"/>
      <c r="B98" s="1789"/>
      <c r="C98" s="1210" t="s">
        <v>409</v>
      </c>
      <c r="D98" s="1278">
        <v>-0.75</v>
      </c>
      <c r="E98" s="1277">
        <v>-0.75</v>
      </c>
      <c r="F98" s="1277">
        <v>-0.75</v>
      </c>
      <c r="G98" s="1277">
        <v>-0.75</v>
      </c>
      <c r="H98" s="1277">
        <v>-0.75</v>
      </c>
      <c r="I98" s="1277">
        <v>-0.75</v>
      </c>
      <c r="J98" s="1276">
        <v>-1</v>
      </c>
      <c r="K98"/>
      <c r="L98"/>
      <c r="M98" s="1061"/>
    </row>
    <row r="99" spans="1:13" s="1057" customFormat="1">
      <c r="A99" s="1203"/>
      <c r="B99" s="1788" t="s">
        <v>62</v>
      </c>
      <c r="C99" s="1426" t="s">
        <v>297</v>
      </c>
      <c r="D99" s="1213">
        <v>0</v>
      </c>
      <c r="E99" s="1212">
        <v>0</v>
      </c>
      <c r="F99" s="1212">
        <v>0</v>
      </c>
      <c r="G99" s="1212">
        <v>0</v>
      </c>
      <c r="H99" s="1212">
        <v>0</v>
      </c>
      <c r="I99" s="1212">
        <v>0</v>
      </c>
      <c r="J99" s="1211">
        <v>0</v>
      </c>
      <c r="K99"/>
      <c r="L99"/>
      <c r="M99" s="1061"/>
    </row>
    <row r="100" spans="1:13" s="1057" customFormat="1" ht="15" customHeight="1">
      <c r="A100" s="1203"/>
      <c r="B100" s="1749"/>
      <c r="C100" s="1427" t="s">
        <v>296</v>
      </c>
      <c r="D100" s="1294">
        <v>0</v>
      </c>
      <c r="E100" s="1293">
        <v>0</v>
      </c>
      <c r="F100" s="1293">
        <v>0</v>
      </c>
      <c r="G100" s="1293">
        <v>0</v>
      </c>
      <c r="H100" s="1293">
        <v>0</v>
      </c>
      <c r="I100" s="1293">
        <v>0</v>
      </c>
      <c r="J100" s="1292">
        <v>0</v>
      </c>
      <c r="K100"/>
      <c r="L100"/>
      <c r="M100" s="1061"/>
    </row>
    <row r="101" spans="1:13" s="1057" customFormat="1" ht="15" customHeight="1">
      <c r="A101" s="1203"/>
      <c r="B101" s="1749"/>
      <c r="C101" s="1427" t="s">
        <v>295</v>
      </c>
      <c r="D101" s="1216">
        <v>0</v>
      </c>
      <c r="E101" s="1215">
        <v>0</v>
      </c>
      <c r="F101" s="1215">
        <v>0</v>
      </c>
      <c r="G101" s="1215">
        <v>0</v>
      </c>
      <c r="H101" s="1215">
        <v>0</v>
      </c>
      <c r="I101" s="1215">
        <v>0</v>
      </c>
      <c r="J101" s="1214">
        <v>0</v>
      </c>
      <c r="K101"/>
      <c r="L101"/>
      <c r="M101" s="1061"/>
    </row>
    <row r="102" spans="1:13" s="1057" customFormat="1" ht="15" customHeight="1">
      <c r="A102" s="1203"/>
      <c r="B102" s="1749"/>
      <c r="C102" s="1427" t="s">
        <v>294</v>
      </c>
      <c r="D102" s="1216">
        <v>0</v>
      </c>
      <c r="E102" s="1215">
        <v>0</v>
      </c>
      <c r="F102" s="1215">
        <v>0</v>
      </c>
      <c r="G102" s="1215">
        <v>0</v>
      </c>
      <c r="H102" s="1215">
        <v>0</v>
      </c>
      <c r="I102" s="1215">
        <v>0</v>
      </c>
      <c r="J102" s="1214">
        <v>0</v>
      </c>
      <c r="K102"/>
      <c r="L102"/>
      <c r="M102" s="1061"/>
    </row>
    <row r="103" spans="1:13" s="1057" customFormat="1" ht="15" customHeight="1">
      <c r="A103" s="1203"/>
      <c r="B103" s="1749"/>
      <c r="C103" s="1427" t="s">
        <v>293</v>
      </c>
      <c r="D103" s="1216">
        <v>0</v>
      </c>
      <c r="E103" s="1215">
        <v>0</v>
      </c>
      <c r="F103" s="1215">
        <v>0</v>
      </c>
      <c r="G103" s="1215">
        <v>0</v>
      </c>
      <c r="H103" s="1215">
        <v>0</v>
      </c>
      <c r="I103" s="1215">
        <v>0</v>
      </c>
      <c r="J103" s="1214">
        <v>0</v>
      </c>
      <c r="K103"/>
      <c r="L103"/>
      <c r="M103" s="1061"/>
    </row>
    <row r="104" spans="1:13" s="1057" customFormat="1" ht="15" customHeight="1">
      <c r="A104" s="1203"/>
      <c r="B104" s="1749"/>
      <c r="C104" s="1427" t="s">
        <v>292</v>
      </c>
      <c r="D104" s="1216">
        <v>0</v>
      </c>
      <c r="E104" s="1215">
        <v>0</v>
      </c>
      <c r="F104" s="1215">
        <v>0</v>
      </c>
      <c r="G104" s="1215">
        <v>0</v>
      </c>
      <c r="H104" s="1215">
        <v>0</v>
      </c>
      <c r="I104" s="1215">
        <v>0</v>
      </c>
      <c r="J104" s="1214">
        <v>0</v>
      </c>
      <c r="K104"/>
      <c r="L104"/>
      <c r="M104" s="1061"/>
    </row>
    <row r="105" spans="1:13" s="1057" customFormat="1" ht="15" customHeight="1">
      <c r="A105" s="1203"/>
      <c r="B105" s="1749"/>
      <c r="C105" s="1427" t="s">
        <v>291</v>
      </c>
      <c r="D105" s="1216">
        <v>-0.25</v>
      </c>
      <c r="E105" s="1215">
        <v>-0.25</v>
      </c>
      <c r="F105" s="1215">
        <v>-0.25</v>
      </c>
      <c r="G105" s="1215">
        <v>-0.375</v>
      </c>
      <c r="H105" s="1215">
        <v>-0.375</v>
      </c>
      <c r="I105" s="1215">
        <v>-0.5</v>
      </c>
      <c r="J105" s="1214" t="s">
        <v>14</v>
      </c>
      <c r="K105"/>
      <c r="L105"/>
      <c r="M105" s="1061"/>
    </row>
    <row r="106" spans="1:13" s="1057" customFormat="1" ht="15" customHeight="1">
      <c r="A106" s="1203"/>
      <c r="B106" s="1749"/>
      <c r="C106" s="1427" t="s">
        <v>290</v>
      </c>
      <c r="D106" s="1216">
        <v>-2</v>
      </c>
      <c r="E106" s="1215">
        <v>-2</v>
      </c>
      <c r="F106" s="1215">
        <v>-2</v>
      </c>
      <c r="G106" s="1215">
        <v>-2</v>
      </c>
      <c r="H106" s="1215">
        <v>-2</v>
      </c>
      <c r="I106" s="1215">
        <v>-2</v>
      </c>
      <c r="J106" s="1214">
        <v>-2</v>
      </c>
      <c r="K106"/>
      <c r="L106"/>
      <c r="M106" s="1061"/>
    </row>
    <row r="107" spans="1:13" s="1057" customFormat="1" ht="15.75" thickBot="1">
      <c r="A107" s="1203"/>
      <c r="B107" s="1789"/>
      <c r="C107" s="1210" t="s">
        <v>381</v>
      </c>
      <c r="D107" s="1278">
        <v>-0.5</v>
      </c>
      <c r="E107" s="1277">
        <v>-0.5</v>
      </c>
      <c r="F107" s="1277">
        <v>-0.5</v>
      </c>
      <c r="G107" s="1277">
        <v>-0.5</v>
      </c>
      <c r="H107" s="1277">
        <v>-0.5</v>
      </c>
      <c r="I107" s="1277" t="s">
        <v>14</v>
      </c>
      <c r="J107" s="1276" t="s">
        <v>14</v>
      </c>
      <c r="K107"/>
      <c r="L107"/>
      <c r="M107" s="1061"/>
    </row>
    <row r="108" spans="1:13" s="1057" customFormat="1">
      <c r="A108" s="1203"/>
      <c r="B108" s="1788" t="s">
        <v>339</v>
      </c>
      <c r="C108" s="1426" t="s">
        <v>338</v>
      </c>
      <c r="D108" s="1213">
        <v>0</v>
      </c>
      <c r="E108" s="1212">
        <v>0</v>
      </c>
      <c r="F108" s="1212">
        <v>0</v>
      </c>
      <c r="G108" s="1212">
        <v>0</v>
      </c>
      <c r="H108" s="1212">
        <v>0</v>
      </c>
      <c r="I108" s="1212">
        <v>0</v>
      </c>
      <c r="J108" s="1211">
        <v>0</v>
      </c>
      <c r="K108"/>
      <c r="L108"/>
      <c r="M108" s="1061"/>
    </row>
    <row r="109" spans="1:13" s="1057" customFormat="1" ht="15.75" thickBot="1">
      <c r="A109" s="1203"/>
      <c r="B109" s="1789"/>
      <c r="C109" s="1210" t="s">
        <v>337</v>
      </c>
      <c r="D109" s="1278">
        <v>0</v>
      </c>
      <c r="E109" s="1277">
        <v>0</v>
      </c>
      <c r="F109" s="1277">
        <v>0</v>
      </c>
      <c r="G109" s="1277">
        <v>0</v>
      </c>
      <c r="H109" s="1277">
        <v>0</v>
      </c>
      <c r="I109" s="1277">
        <v>0</v>
      </c>
      <c r="J109" s="1276">
        <v>0</v>
      </c>
      <c r="K109"/>
      <c r="L109"/>
      <c r="M109" s="1061"/>
    </row>
    <row r="110" spans="1:13" s="1057" customFormat="1">
      <c r="A110" s="1203"/>
      <c r="B110"/>
      <c r="C110"/>
      <c r="D110"/>
      <c r="E110"/>
      <c r="F110"/>
      <c r="G110"/>
      <c r="H110"/>
      <c r="I110"/>
      <c r="M110" s="1061"/>
    </row>
    <row r="111" spans="1:13" s="1057" customFormat="1">
      <c r="A111" s="1203"/>
      <c r="M111" s="1061"/>
    </row>
    <row r="112" spans="1:13" s="1057" customFormat="1">
      <c r="A112" s="1203"/>
      <c r="M112" s="1061"/>
    </row>
    <row r="113" spans="1:13" s="1057" customFormat="1">
      <c r="A113" s="1203"/>
      <c r="M113" s="1061"/>
    </row>
    <row r="114" spans="1:13" s="1057" customFormat="1">
      <c r="A114" s="1203"/>
      <c r="M114" s="1061"/>
    </row>
    <row r="115" spans="1:13" s="1057" customFormat="1">
      <c r="A115" s="1203"/>
      <c r="M115" s="1061"/>
    </row>
    <row r="116" spans="1:13" s="1057" customFormat="1">
      <c r="A116" s="1203"/>
      <c r="M116" s="1061"/>
    </row>
    <row r="117" spans="1:13" s="1057" customFormat="1">
      <c r="A117" s="1203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>
      <c r="A125" s="1203"/>
      <c r="G125" s="1202"/>
      <c r="H125" s="1201"/>
      <c r="M125" s="1061"/>
    </row>
    <row r="126" spans="1:13" s="1057" customFormat="1">
      <c r="A126" s="1203"/>
      <c r="G126" s="1202"/>
      <c r="H126" s="1201"/>
      <c r="M126" s="1061"/>
    </row>
    <row r="127" spans="1:13" s="1057" customFormat="1">
      <c r="A127" s="1203"/>
      <c r="G127" s="1202"/>
      <c r="H127" s="1201"/>
      <c r="M127" s="1061"/>
    </row>
    <row r="128" spans="1:13" s="1057" customFormat="1">
      <c r="A128" s="1203"/>
      <c r="G128" s="1202"/>
      <c r="H128" s="1201"/>
      <c r="M128" s="1061"/>
    </row>
    <row r="129" spans="1:17" s="1057" customFormat="1">
      <c r="A129" s="1203"/>
      <c r="G129" s="1202"/>
      <c r="H129" s="1201"/>
      <c r="M129" s="1061"/>
    </row>
    <row r="130" spans="1:17" s="1057" customFormat="1">
      <c r="A130" s="1203"/>
      <c r="M130" s="1061"/>
    </row>
    <row r="131" spans="1:17" s="1057" customFormat="1">
      <c r="A131" s="1203"/>
      <c r="M131" s="1061"/>
    </row>
    <row r="132" spans="1:17" s="1057" customFormat="1">
      <c r="A132" s="1203"/>
      <c r="M132" s="1061"/>
    </row>
    <row r="133" spans="1:17" s="1057" customFormat="1" ht="15.75" thickBot="1">
      <c r="A133" s="1203"/>
      <c r="M133" s="1061"/>
    </row>
    <row r="134" spans="1:17" s="1057" customFormat="1" ht="15" customHeight="1">
      <c r="A134" s="1066"/>
      <c r="B134" s="1816" t="s">
        <v>192</v>
      </c>
      <c r="C134" s="1816"/>
      <c r="D134" s="1816"/>
      <c r="E134" s="1816"/>
      <c r="F134" s="1816"/>
      <c r="G134" s="1816"/>
      <c r="H134" s="1816"/>
      <c r="I134" s="1816"/>
      <c r="J134" s="1816"/>
      <c r="K134" s="1816"/>
      <c r="L134" s="1816"/>
      <c r="M134" s="1849"/>
    </row>
    <row r="135" spans="1:17" s="1057" customFormat="1">
      <c r="A135" s="1063"/>
      <c r="B135" s="1817"/>
      <c r="C135" s="1817"/>
      <c r="D135" s="1817"/>
      <c r="E135" s="1817"/>
      <c r="F135" s="1817"/>
      <c r="G135" s="1817"/>
      <c r="H135" s="1817"/>
      <c r="I135" s="1817"/>
      <c r="J135" s="1817"/>
      <c r="K135" s="1817"/>
      <c r="L135" s="1817"/>
      <c r="M135" s="1850"/>
    </row>
    <row r="136" spans="1:17" s="1057" customFormat="1">
      <c r="A136" s="1063"/>
      <c r="B136" s="1817"/>
      <c r="C136" s="1817"/>
      <c r="D136" s="1817"/>
      <c r="E136" s="1817"/>
      <c r="F136" s="1817"/>
      <c r="G136" s="1817"/>
      <c r="H136" s="1817"/>
      <c r="I136" s="1817"/>
      <c r="J136" s="1817"/>
      <c r="K136" s="1817"/>
      <c r="L136" s="1817"/>
      <c r="M136" s="1850"/>
      <c r="O136" s="1056"/>
      <c r="P136" s="1056"/>
      <c r="Q136" s="1056"/>
    </row>
    <row r="137" spans="1:17" s="1057" customFormat="1" ht="15.75" thickBot="1">
      <c r="A137" s="1060"/>
      <c r="B137" s="1818"/>
      <c r="C137" s="1818"/>
      <c r="D137" s="1818"/>
      <c r="E137" s="1818"/>
      <c r="F137" s="1818"/>
      <c r="G137" s="1818"/>
      <c r="H137" s="1818"/>
      <c r="I137" s="1818"/>
      <c r="J137" s="1818"/>
      <c r="K137" s="1818"/>
      <c r="L137" s="1818"/>
      <c r="M137" s="1851"/>
      <c r="O137" s="1056"/>
      <c r="P137" s="1056"/>
      <c r="Q137" s="1056"/>
    </row>
  </sheetData>
  <mergeCells count="17">
    <mergeCell ref="H14:J14"/>
    <mergeCell ref="K2:L2"/>
    <mergeCell ref="K3:L3"/>
    <mergeCell ref="A10:M11"/>
    <mergeCell ref="O10:Q10"/>
    <mergeCell ref="H13:J13"/>
    <mergeCell ref="H15:J16"/>
    <mergeCell ref="H17:J17"/>
    <mergeCell ref="H18:J18"/>
    <mergeCell ref="E19:F19"/>
    <mergeCell ref="B84:B87"/>
    <mergeCell ref="D55:J55"/>
    <mergeCell ref="B134:M137"/>
    <mergeCell ref="B88:B96"/>
    <mergeCell ref="B97:B98"/>
    <mergeCell ref="B99:B107"/>
    <mergeCell ref="B108:B109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C1AB35F-53C8-46C4-9871-1C495F5C96B8}">
          <x14:formula1>
            <xm:f>margins!$AC$110:$AC$111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margins!$AC$113:$AC$115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margins!$AC$116:$AC$119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margins!$AC$122:$AC$131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margins!$AC$133:$AC$135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margins!$AC$146:$AC$155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margins!$AC$160:$AC$162</xm:f>
          </x14:formula1>
          <xm:sqref>P22</xm:sqref>
        </x14:dataValidation>
        <x14:dataValidation type="list" allowBlank="1" showInputMessage="1" showErrorMessage="1" xr:uid="{749CD69A-5D1F-40F3-ABFD-370E4F3F8E55}">
          <x14:formula1>
            <xm:f>margins!$N$165:$N$167</xm:f>
          </x14:formula1>
          <xm:sqref>P26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2"/>
      <c r="B2" s="1643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342"/>
      <c r="P2" s="343"/>
    </row>
    <row r="3" spans="1:16" ht="9.9499999999999993" customHeight="1">
      <c r="A3" s="1645"/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6"/>
      <c r="D6" s="1646"/>
      <c r="E6" s="1646"/>
      <c r="F6" s="1646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7"/>
      <c r="D7" s="1647"/>
      <c r="E7" s="1647"/>
      <c r="F7" s="1647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8"/>
      <c r="D8" s="1648"/>
      <c r="E8" s="1648"/>
      <c r="F8" s="1648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9" t="s">
        <v>361</v>
      </c>
      <c r="G9" s="1649"/>
      <c r="H9" s="1650">
        <v>45978</v>
      </c>
      <c r="I9" s="1650"/>
      <c r="J9" s="1650"/>
      <c r="K9" s="1650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1"/>
      <c r="D10" s="1651"/>
      <c r="E10" s="1651"/>
      <c r="F10" s="1651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2" t="s">
        <v>447</v>
      </c>
      <c r="C12" s="1652"/>
      <c r="D12" s="1652"/>
      <c r="E12" s="1652"/>
      <c r="F12" s="1652"/>
      <c r="G12" s="1652"/>
      <c r="H12" s="1652"/>
      <c r="I12" s="1652"/>
      <c r="J12" s="1652"/>
      <c r="K12" s="1652"/>
      <c r="L12" s="1652"/>
      <c r="M12" s="1652"/>
      <c r="N12" s="1652"/>
      <c r="O12" s="1652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3" t="s">
        <v>173</v>
      </c>
      <c r="C14" s="1654"/>
      <c r="D14" s="1654"/>
      <c r="E14" s="1654"/>
      <c r="F14" s="1654"/>
      <c r="G14" s="1655"/>
      <c r="H14" s="368"/>
      <c r="I14" s="1653" t="s">
        <v>174</v>
      </c>
      <c r="J14" s="1654"/>
      <c r="K14" s="1654"/>
      <c r="L14" s="1654"/>
      <c r="M14" s="1654"/>
      <c r="N14" s="1654"/>
      <c r="O14" s="1655"/>
      <c r="P14" s="369"/>
    </row>
    <row r="15" spans="1:16" ht="9.9499999999999993" customHeight="1">
      <c r="A15" s="367"/>
      <c r="B15" s="1656"/>
      <c r="C15" s="1657"/>
      <c r="D15" s="1657"/>
      <c r="E15" s="1657"/>
      <c r="F15" s="1657"/>
      <c r="G15" s="1658"/>
      <c r="H15" s="368"/>
      <c r="I15" s="1656"/>
      <c r="J15" s="1657"/>
      <c r="K15" s="1657"/>
      <c r="L15" s="1657"/>
      <c r="M15" s="1657"/>
      <c r="N15" s="1657"/>
      <c r="O15" s="1658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9" t="s">
        <v>284</v>
      </c>
      <c r="K16" s="1660"/>
      <c r="L16" s="1660"/>
      <c r="M16" s="1661"/>
      <c r="N16" s="166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60"/>
      <c r="K17" s="1660"/>
      <c r="L17" s="1660"/>
      <c r="M17" s="1661"/>
      <c r="N17" s="166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60"/>
      <c r="K18" s="1660"/>
      <c r="L18" s="1660"/>
      <c r="M18" s="1661"/>
      <c r="N18" s="1662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682</v>
      </c>
      <c r="E19" s="379"/>
      <c r="F19" s="384"/>
      <c r="G19" s="385"/>
      <c r="H19" s="368"/>
      <c r="I19" s="376"/>
      <c r="J19" s="1660"/>
      <c r="K19" s="1660"/>
      <c r="L19" s="1660"/>
      <c r="M19" s="1661"/>
      <c r="N19" s="166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60"/>
      <c r="K20" s="1660"/>
      <c r="L20" s="1660"/>
      <c r="M20" s="1661"/>
      <c r="N20" s="166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60"/>
      <c r="K21" s="1660"/>
      <c r="L21" s="1660"/>
      <c r="M21" s="1661"/>
      <c r="N21" s="166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60"/>
      <c r="K22" s="1660"/>
      <c r="L22" s="1660"/>
      <c r="M22" s="1661"/>
      <c r="N22" s="166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3"/>
      <c r="K23" s="1663"/>
      <c r="L23" s="1663"/>
      <c r="M23" s="1664"/>
      <c r="N23" s="166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3" t="s">
        <v>181</v>
      </c>
      <c r="C25" s="1654"/>
      <c r="D25" s="1654"/>
      <c r="E25" s="1654"/>
      <c r="F25" s="1654"/>
      <c r="G25" s="1655"/>
      <c r="H25" s="391"/>
      <c r="I25" s="1653" t="s">
        <v>358</v>
      </c>
      <c r="J25" s="1654"/>
      <c r="K25" s="1654"/>
      <c r="L25" s="1654"/>
      <c r="M25" s="1654"/>
      <c r="N25" s="1654"/>
      <c r="O25" s="1655"/>
      <c r="P25" s="369"/>
    </row>
    <row r="26" spans="1:17" ht="9.9499999999999993" customHeight="1">
      <c r="A26" s="367"/>
      <c r="B26" s="1656"/>
      <c r="C26" s="1657"/>
      <c r="D26" s="1657"/>
      <c r="E26" s="1657"/>
      <c r="F26" s="1657"/>
      <c r="G26" s="1658"/>
      <c r="H26" s="391"/>
      <c r="I26" s="1656"/>
      <c r="J26" s="1657"/>
      <c r="K26" s="1657"/>
      <c r="L26" s="1657"/>
      <c r="M26" s="1657"/>
      <c r="N26" s="1657"/>
      <c r="O26" s="1658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6" t="s">
        <v>446</v>
      </c>
      <c r="D28" s="1667"/>
      <c r="E28" s="1667"/>
      <c r="F28" s="1667"/>
      <c r="G28" s="1939"/>
      <c r="H28" s="368"/>
      <c r="I28" s="1668" t="s">
        <v>285</v>
      </c>
      <c r="J28" s="1669"/>
      <c r="K28" s="1669"/>
      <c r="L28" s="1669"/>
      <c r="M28" s="1669"/>
      <c r="N28" s="1669"/>
      <c r="O28" s="1670"/>
      <c r="P28" s="369"/>
    </row>
    <row r="29" spans="1:17" ht="11.25" customHeight="1">
      <c r="A29" s="367"/>
      <c r="B29" s="402"/>
      <c r="C29" s="666" t="s">
        <v>448</v>
      </c>
      <c r="D29" s="396"/>
      <c r="E29" s="396"/>
      <c r="F29" s="124"/>
      <c r="G29" s="125" t="s">
        <v>182</v>
      </c>
      <c r="H29" s="368"/>
      <c r="I29" s="1668"/>
      <c r="J29" s="1669"/>
      <c r="K29" s="1669"/>
      <c r="L29" s="1669"/>
      <c r="M29" s="1669"/>
      <c r="N29" s="1669"/>
      <c r="O29" s="1670"/>
      <c r="P29" s="369"/>
      <c r="Q29" s="493"/>
    </row>
    <row r="30" spans="1:17" ht="9.9499999999999993" customHeight="1">
      <c r="A30" s="367"/>
      <c r="B30" s="402"/>
      <c r="C30" s="666" t="s">
        <v>449</v>
      </c>
      <c r="D30" s="396"/>
      <c r="E30" s="396"/>
      <c r="F30" s="124"/>
      <c r="G30" s="125" t="s">
        <v>183</v>
      </c>
      <c r="H30" s="368"/>
      <c r="I30" s="419"/>
      <c r="J30" s="1671"/>
      <c r="K30" s="1671"/>
      <c r="L30" s="1671"/>
      <c r="M30" s="1671"/>
      <c r="N30" s="1671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2" t="s">
        <v>184</v>
      </c>
      <c r="F38" s="1673"/>
      <c r="G38" s="1673"/>
      <c r="H38" s="1673"/>
      <c r="I38" s="1673"/>
      <c r="J38" s="1673"/>
      <c r="K38" s="1673"/>
      <c r="L38" s="1673"/>
      <c r="O38" s="380"/>
      <c r="P38" s="369"/>
    </row>
    <row r="39" spans="1:16" ht="9.9499999999999993" customHeight="1">
      <c r="A39" s="367"/>
      <c r="B39" s="402"/>
      <c r="C39" s="439"/>
      <c r="D39" s="125"/>
      <c r="E39" s="1672"/>
      <c r="F39" s="1673"/>
      <c r="G39" s="1673"/>
      <c r="H39" s="1673"/>
      <c r="I39" s="1673"/>
      <c r="J39" s="1673"/>
      <c r="K39" s="1673"/>
      <c r="L39" s="1673"/>
      <c r="O39" s="380"/>
      <c r="P39" s="369"/>
    </row>
    <row r="40" spans="1:16" ht="9.9499999999999993" customHeight="1">
      <c r="A40" s="367"/>
      <c r="B40" s="402"/>
      <c r="C40" s="428"/>
      <c r="D40" s="125"/>
      <c r="E40" s="1674" t="s">
        <v>360</v>
      </c>
      <c r="F40" s="1675"/>
      <c r="G40" s="1675"/>
      <c r="H40" s="1675"/>
      <c r="I40" s="1675"/>
      <c r="J40" s="1675"/>
      <c r="K40" s="1675"/>
      <c r="L40" s="1676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9" t="s">
        <v>31</v>
      </c>
      <c r="F46" s="1690"/>
      <c r="G46" s="1690"/>
      <c r="H46" s="1690"/>
      <c r="I46" s="1690"/>
      <c r="J46" s="1690"/>
      <c r="K46" s="1690"/>
      <c r="L46" s="1691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2" t="s">
        <v>186</v>
      </c>
      <c r="C48" s="1693"/>
      <c r="D48" s="1693"/>
      <c r="E48" s="1693"/>
      <c r="F48" s="1693"/>
      <c r="G48" s="1693"/>
      <c r="H48" s="1693"/>
      <c r="I48" s="1693"/>
      <c r="J48" s="1693"/>
      <c r="K48" s="1693"/>
      <c r="L48" s="1693"/>
      <c r="M48" s="1693"/>
      <c r="N48" s="1693"/>
      <c r="O48" s="1694"/>
      <c r="P48" s="369"/>
    </row>
    <row r="49" spans="1:16" ht="9.9499999999999993" customHeight="1">
      <c r="A49" s="367"/>
      <c r="B49" s="1672"/>
      <c r="C49" s="1673"/>
      <c r="D49" s="1673"/>
      <c r="E49" s="1673"/>
      <c r="F49" s="1673"/>
      <c r="G49" s="1673"/>
      <c r="H49" s="1673"/>
      <c r="I49" s="1673"/>
      <c r="J49" s="1673"/>
      <c r="K49" s="1673"/>
      <c r="L49" s="1673"/>
      <c r="M49" s="1673"/>
      <c r="N49" s="1673"/>
      <c r="O49" s="1695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387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1"/>
      <c r="G55" s="1681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2"/>
      <c r="C57" s="1696"/>
      <c r="D57" s="1696"/>
      <c r="E57" s="1696"/>
      <c r="F57" s="1696"/>
      <c r="G57" s="1696"/>
      <c r="H57" s="1696"/>
      <c r="I57" s="1696"/>
      <c r="J57" s="1696"/>
      <c r="K57" s="1696"/>
      <c r="L57" s="1696"/>
      <c r="M57" s="1696"/>
      <c r="N57" s="1696"/>
      <c r="O57" s="1697"/>
      <c r="P57" s="395"/>
    </row>
    <row r="58" spans="1:16" ht="9.9499999999999993" customHeight="1">
      <c r="A58" s="394"/>
      <c r="B58" s="1698"/>
      <c r="C58" s="1699"/>
      <c r="D58" s="1699"/>
      <c r="E58" s="1699"/>
      <c r="F58" s="1699"/>
      <c r="G58" s="1699"/>
      <c r="H58" s="1699"/>
      <c r="I58" s="1699"/>
      <c r="J58" s="1699"/>
      <c r="K58" s="1699"/>
      <c r="L58" s="1699"/>
      <c r="M58" s="1699"/>
      <c r="N58" s="1699"/>
      <c r="O58" s="1700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0"/>
      <c r="D61" s="1820"/>
      <c r="E61" s="1820"/>
      <c r="F61" s="1820"/>
      <c r="G61" s="1820"/>
      <c r="H61" s="1820"/>
      <c r="I61" s="1820"/>
      <c r="J61" s="1820"/>
      <c r="K61" s="1820"/>
      <c r="L61" s="1820"/>
      <c r="M61" s="1820"/>
      <c r="N61" s="1820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2" t="s">
        <v>189</v>
      </c>
      <c r="C72" s="1703"/>
      <c r="D72" s="1703"/>
      <c r="E72" s="1703"/>
      <c r="F72" s="1703"/>
      <c r="G72" s="1703"/>
      <c r="H72" s="1703"/>
      <c r="I72" s="1703"/>
      <c r="J72" s="1703"/>
      <c r="K72" s="1703"/>
      <c r="L72" s="1703"/>
      <c r="M72" s="1703"/>
      <c r="N72" s="1703"/>
      <c r="O72" s="1704"/>
    </row>
    <row r="73" spans="1:16">
      <c r="B73" s="1705"/>
      <c r="C73" s="1706"/>
      <c r="D73" s="1706"/>
      <c r="E73" s="1706"/>
      <c r="F73" s="1706"/>
      <c r="G73" s="1706"/>
      <c r="H73" s="1706"/>
      <c r="I73" s="1706"/>
      <c r="J73" s="1706"/>
      <c r="K73" s="1706"/>
      <c r="L73" s="1706"/>
      <c r="M73" s="1706"/>
      <c r="N73" s="1706"/>
      <c r="O73" s="1707"/>
    </row>
    <row r="74" spans="1:16">
      <c r="B74" s="1677" t="s">
        <v>190</v>
      </c>
      <c r="C74" s="1678"/>
      <c r="D74" s="1678"/>
      <c r="E74" s="1678"/>
      <c r="F74" s="1678"/>
      <c r="G74" s="1678"/>
      <c r="H74" s="1678"/>
      <c r="I74" s="1678"/>
      <c r="J74" s="1678"/>
      <c r="K74" s="1678"/>
      <c r="L74" s="1678"/>
      <c r="M74" s="1678"/>
      <c r="N74" s="1678"/>
      <c r="O74" s="1679"/>
    </row>
    <row r="75" spans="1:16" ht="9.9499999999999993" customHeight="1">
      <c r="B75" s="1680" t="s">
        <v>191</v>
      </c>
      <c r="C75" s="1681"/>
      <c r="D75" s="1681"/>
      <c r="E75" s="1681"/>
      <c r="F75" s="1681"/>
      <c r="G75" s="1681"/>
      <c r="H75" s="1681"/>
      <c r="I75" s="1681"/>
      <c r="J75" s="1681"/>
      <c r="K75" s="1681"/>
      <c r="L75" s="1681"/>
      <c r="M75" s="1681"/>
      <c r="N75" s="1681"/>
      <c r="O75" s="1682"/>
    </row>
    <row r="76" spans="1:16" ht="13.5" customHeight="1">
      <c r="B76" s="1683" t="s">
        <v>192</v>
      </c>
      <c r="C76" s="1684"/>
      <c r="D76" s="1684"/>
      <c r="E76" s="1684"/>
      <c r="F76" s="1684"/>
      <c r="G76" s="1684"/>
      <c r="H76" s="1684"/>
      <c r="I76" s="1684"/>
      <c r="J76" s="1684"/>
      <c r="K76" s="1684"/>
      <c r="L76" s="1684"/>
      <c r="M76" s="1684"/>
      <c r="N76" s="1684"/>
      <c r="O76" s="1685"/>
    </row>
    <row r="77" spans="1:16">
      <c r="B77" s="1686"/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8"/>
    </row>
  </sheetData>
  <mergeCells count="28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17" workbookViewId="0">
      <selection activeCell="U60" sqref="U60"/>
    </sheetView>
  </sheetViews>
  <sheetFormatPr defaultColWidth="8.7109375" defaultRowHeight="12.75"/>
  <cols>
    <col min="1" max="1" width="14.5703125" style="742" customWidth="1"/>
    <col min="2" max="3" width="13.28515625" style="742" customWidth="1"/>
    <col min="4" max="4" width="13.42578125" style="742" customWidth="1"/>
    <col min="5" max="5" width="1.85546875" style="742" customWidth="1"/>
    <col min="6" max="6" width="15" style="742" customWidth="1"/>
    <col min="7" max="7" width="25.85546875" style="742" customWidth="1"/>
    <col min="8" max="8" width="9.42578125" style="742" customWidth="1"/>
    <col min="9" max="13" width="9.7109375" style="742" customWidth="1"/>
    <col min="14" max="14" width="11.42578125" style="742" customWidth="1"/>
    <col min="15" max="15" width="1.7109375" style="742" customWidth="1"/>
    <col min="16" max="17" width="19.140625" style="742" customWidth="1"/>
    <col min="18" max="18" width="20" style="742" bestFit="1" customWidth="1"/>
    <col min="19" max="16384" width="8.7109375" style="742"/>
  </cols>
  <sheetData>
    <row r="1" spans="1:18" customFormat="1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8" customFormat="1" ht="26.25">
      <c r="A2" s="40"/>
      <c r="B2" s="41"/>
      <c r="C2" s="1792" t="s">
        <v>446</v>
      </c>
      <c r="D2" s="1792"/>
      <c r="E2" s="1792"/>
      <c r="F2" s="1792"/>
      <c r="G2" s="1792"/>
      <c r="H2" s="1792"/>
      <c r="I2" s="1792"/>
      <c r="J2" s="1792"/>
      <c r="K2" s="1792"/>
      <c r="L2" s="1792"/>
      <c r="M2" s="1792"/>
      <c r="N2" s="1792"/>
    </row>
    <row r="3" spans="1:18" customFormat="1" ht="31.5" thickBot="1">
      <c r="A3" s="42"/>
      <c r="B3" s="43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customFormat="1" ht="31.5" thickBot="1">
      <c r="A4" s="47"/>
      <c r="B4" s="47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8" customFormat="1" ht="15.7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P5" s="657" t="s">
        <v>454</v>
      </c>
      <c r="Q5" s="657"/>
      <c r="R5" s="1577">
        <v>45978.399699074071</v>
      </c>
    </row>
    <row r="6" spans="1:18" ht="19.5" thickBot="1">
      <c r="A6" s="776"/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471"/>
      <c r="Q6" s="471"/>
      <c r="R6" s="471"/>
    </row>
    <row r="7" spans="1:18" ht="15" thickBot="1">
      <c r="A7" s="1944" t="s">
        <v>450</v>
      </c>
      <c r="B7" s="1945"/>
      <c r="C7" s="1945"/>
      <c r="D7" s="1946"/>
      <c r="E7" s="744"/>
      <c r="F7" s="1944" t="s">
        <v>457</v>
      </c>
      <c r="G7" s="1945"/>
      <c r="H7" s="1945"/>
      <c r="I7" s="1945"/>
      <c r="J7" s="1945"/>
      <c r="K7" s="1945"/>
      <c r="L7" s="1945"/>
      <c r="M7" s="1945"/>
      <c r="N7" s="1946"/>
      <c r="P7" s="494" t="s">
        <v>207</v>
      </c>
      <c r="Q7" s="495" t="s">
        <v>208</v>
      </c>
      <c r="R7" s="495" t="s">
        <v>209</v>
      </c>
    </row>
    <row r="8" spans="1:18" ht="15" thickBot="1">
      <c r="A8" s="787" t="s">
        <v>3</v>
      </c>
      <c r="B8" s="787" t="s">
        <v>227</v>
      </c>
      <c r="C8" s="787" t="s">
        <v>13</v>
      </c>
      <c r="D8" s="787" t="s">
        <v>420</v>
      </c>
      <c r="E8" s="745"/>
      <c r="F8" s="1947"/>
      <c r="G8" s="784"/>
      <c r="H8" s="804" t="s">
        <v>15</v>
      </c>
      <c r="I8" s="785" t="s">
        <v>16</v>
      </c>
      <c r="J8" s="785" t="s">
        <v>17</v>
      </c>
      <c r="K8" s="785" t="s">
        <v>18</v>
      </c>
      <c r="L8" s="785" t="s">
        <v>19</v>
      </c>
      <c r="M8" s="785" t="s">
        <v>20</v>
      </c>
      <c r="N8" s="786" t="s">
        <v>21</v>
      </c>
      <c r="P8" s="471"/>
      <c r="Q8" s="471"/>
      <c r="R8" s="471"/>
    </row>
    <row r="9" spans="1:18" ht="15" customHeight="1">
      <c r="A9" s="746">
        <v>8.375</v>
      </c>
      <c r="B9" s="746">
        <v>95.394999999999996</v>
      </c>
      <c r="C9" s="746">
        <v>95.394999999999996</v>
      </c>
      <c r="D9" s="746">
        <v>95.394999999999996</v>
      </c>
      <c r="E9" s="747"/>
      <c r="F9" s="1948"/>
      <c r="G9" s="748" t="s">
        <v>116</v>
      </c>
      <c r="H9" s="792">
        <v>0.25</v>
      </c>
      <c r="I9" s="793">
        <v>0.25</v>
      </c>
      <c r="J9" s="793">
        <v>0.25</v>
      </c>
      <c r="K9" s="793">
        <v>0.125</v>
      </c>
      <c r="L9" s="793">
        <v>0</v>
      </c>
      <c r="M9" s="793">
        <v>-0.5</v>
      </c>
      <c r="N9" s="794">
        <v>-2.5</v>
      </c>
      <c r="P9" s="480" t="s">
        <v>210</v>
      </c>
      <c r="Q9" s="484" t="s">
        <v>204</v>
      </c>
      <c r="R9" s="488"/>
    </row>
    <row r="10" spans="1:18" ht="15" customHeight="1">
      <c r="A10" s="746">
        <v>8.5</v>
      </c>
      <c r="B10" s="746">
        <v>95.644999999999996</v>
      </c>
      <c r="C10" s="746">
        <v>95.644999999999996</v>
      </c>
      <c r="D10" s="746">
        <v>95.644999999999996</v>
      </c>
      <c r="E10" s="747"/>
      <c r="F10" s="1948"/>
      <c r="G10" s="749" t="s">
        <v>323</v>
      </c>
      <c r="H10" s="795">
        <v>0.125</v>
      </c>
      <c r="I10" s="793">
        <v>0.125</v>
      </c>
      <c r="J10" s="793">
        <v>0.125</v>
      </c>
      <c r="K10" s="793">
        <v>0</v>
      </c>
      <c r="L10" s="793">
        <v>-0.25</v>
      </c>
      <c r="M10" s="793">
        <v>-0.625</v>
      </c>
      <c r="N10" s="796">
        <v>-3</v>
      </c>
      <c r="P10" s="481" t="s">
        <v>211</v>
      </c>
      <c r="Q10" s="485">
        <v>9.25</v>
      </c>
      <c r="R10" s="489">
        <f>IF(Q9="7/6 Arm",VLOOKUP(Q10,$A$8:$D$34,3,FALSE),IF(Q9="5/6 Arm",VLOOKUP(Q10,$A$8:$D$34,2,FALSE),VLOOKUP(Q10,$A$8:$D$34,4,FALSE)))</f>
        <v>97.144999999999996</v>
      </c>
    </row>
    <row r="11" spans="1:18" ht="15">
      <c r="A11" s="746">
        <v>8.625</v>
      </c>
      <c r="B11" s="746">
        <v>95.894999999999996</v>
      </c>
      <c r="C11" s="746">
        <v>95.894999999999996</v>
      </c>
      <c r="D11" s="746">
        <v>95.894999999999996</v>
      </c>
      <c r="E11" s="747"/>
      <c r="F11" s="1948"/>
      <c r="G11" s="749" t="s">
        <v>322</v>
      </c>
      <c r="H11" s="795">
        <v>0</v>
      </c>
      <c r="I11" s="793">
        <v>0</v>
      </c>
      <c r="J11" s="793">
        <v>-0.125</v>
      </c>
      <c r="K11" s="793">
        <v>-0.25</v>
      </c>
      <c r="L11" s="793">
        <v>-0.625</v>
      </c>
      <c r="M11" s="793">
        <v>-1</v>
      </c>
      <c r="N11" s="796" t="s">
        <v>14</v>
      </c>
      <c r="P11" s="481" t="s">
        <v>386</v>
      </c>
      <c r="Q11" s="485" t="s">
        <v>15</v>
      </c>
      <c r="R11" s="489"/>
    </row>
    <row r="12" spans="1:18" ht="15">
      <c r="A12" s="746">
        <v>8.75</v>
      </c>
      <c r="B12" s="746">
        <v>96.144999999999996</v>
      </c>
      <c r="C12" s="746">
        <v>96.144999999999996</v>
      </c>
      <c r="D12" s="746">
        <v>96.144999999999996</v>
      </c>
      <c r="E12" s="747"/>
      <c r="F12" s="1948"/>
      <c r="G12" s="750" t="s">
        <v>426</v>
      </c>
      <c r="H12" s="795">
        <v>-0.125</v>
      </c>
      <c r="I12" s="793">
        <v>-0.25</v>
      </c>
      <c r="J12" s="793">
        <v>-0.375</v>
      </c>
      <c r="K12" s="793">
        <v>-0.5</v>
      </c>
      <c r="L12" s="793">
        <v>-0.75</v>
      </c>
      <c r="M12" s="793" t="s">
        <v>14</v>
      </c>
      <c r="N12" s="796" t="s">
        <v>14</v>
      </c>
      <c r="P12" s="481" t="s">
        <v>212</v>
      </c>
      <c r="Q12" s="485" t="s">
        <v>322</v>
      </c>
      <c r="R12" s="489">
        <f>IFERROR(INDEX($H$9:$N$13,MATCH(Q12,$G$9:$G$13,0),MATCH($Q$11,$H$8:$N$8,0),1),0)</f>
        <v>0</v>
      </c>
    </row>
    <row r="13" spans="1:18" ht="15.75" thickBot="1">
      <c r="A13" s="746">
        <v>8.875</v>
      </c>
      <c r="B13" s="746">
        <v>96.394999999999996</v>
      </c>
      <c r="C13" s="746">
        <v>96.394999999999996</v>
      </c>
      <c r="D13" s="746">
        <v>96.394999999999996</v>
      </c>
      <c r="E13" s="747"/>
      <c r="F13" s="1949"/>
      <c r="G13" s="751" t="s">
        <v>320</v>
      </c>
      <c r="H13" s="797">
        <v>-0.5</v>
      </c>
      <c r="I13" s="798">
        <v>-0.875</v>
      </c>
      <c r="J13" s="798">
        <v>-1.125</v>
      </c>
      <c r="K13" s="798">
        <v>-1.5</v>
      </c>
      <c r="L13" s="798" t="s">
        <v>14</v>
      </c>
      <c r="M13" s="798" t="s">
        <v>14</v>
      </c>
      <c r="N13" s="799" t="s">
        <v>14</v>
      </c>
      <c r="P13" s="481" t="s">
        <v>462</v>
      </c>
      <c r="Q13" s="485" t="s">
        <v>203</v>
      </c>
      <c r="R13" s="489">
        <f t="shared" ref="R13:R19" si="0">IFERROR(INDEX($H$17:$N$26,MATCH(Q13,$G$17:$G$26,0),MATCH($Q$11,$H$16:$N$16,0),1),0)</f>
        <v>0</v>
      </c>
    </row>
    <row r="14" spans="1:18" ht="15.75" thickBot="1">
      <c r="A14" s="746">
        <v>9</v>
      </c>
      <c r="B14" s="746">
        <v>96.644999999999996</v>
      </c>
      <c r="C14" s="746">
        <v>96.644999999999996</v>
      </c>
      <c r="D14" s="746">
        <v>96.644999999999996</v>
      </c>
      <c r="E14" s="747"/>
      <c r="F14" s="752"/>
      <c r="G14" s="753"/>
      <c r="H14" s="754"/>
      <c r="I14" s="754"/>
      <c r="J14" s="754"/>
      <c r="K14" s="754"/>
      <c r="L14" s="754"/>
      <c r="M14" s="754"/>
      <c r="N14" s="754"/>
      <c r="P14" s="481" t="s">
        <v>63</v>
      </c>
      <c r="Q14" s="485" t="s">
        <v>203</v>
      </c>
      <c r="R14" s="489">
        <f t="shared" si="0"/>
        <v>0</v>
      </c>
    </row>
    <row r="15" spans="1:18" ht="15.75" thickBot="1">
      <c r="A15" s="746">
        <v>9.125</v>
      </c>
      <c r="B15" s="746">
        <v>96.894999999999996</v>
      </c>
      <c r="C15" s="746">
        <v>96.894999999999996</v>
      </c>
      <c r="D15" s="746">
        <v>96.894999999999996</v>
      </c>
      <c r="E15" s="747"/>
      <c r="F15" s="1944" t="s">
        <v>431</v>
      </c>
      <c r="G15" s="1945"/>
      <c r="H15" s="1945"/>
      <c r="I15" s="1945"/>
      <c r="J15" s="1945"/>
      <c r="K15" s="1945"/>
      <c r="L15" s="1945"/>
      <c r="M15" s="1945"/>
      <c r="N15" s="1946"/>
      <c r="P15" s="481" t="s">
        <v>451</v>
      </c>
      <c r="Q15" s="485" t="s">
        <v>203</v>
      </c>
      <c r="R15" s="489">
        <f t="shared" si="0"/>
        <v>0</v>
      </c>
    </row>
    <row r="16" spans="1:18" ht="15.75" thickBot="1">
      <c r="A16" s="746">
        <v>9.25</v>
      </c>
      <c r="B16" s="746">
        <v>97.144999999999996</v>
      </c>
      <c r="C16" s="746">
        <v>97.144999999999996</v>
      </c>
      <c r="D16" s="746">
        <v>97.144999999999996</v>
      </c>
      <c r="E16" s="747"/>
      <c r="F16" s="755"/>
      <c r="G16" s="806" t="s">
        <v>329</v>
      </c>
      <c r="H16" s="804" t="s">
        <v>15</v>
      </c>
      <c r="I16" s="785" t="s">
        <v>16</v>
      </c>
      <c r="J16" s="785" t="s">
        <v>17</v>
      </c>
      <c r="K16" s="785" t="s">
        <v>18</v>
      </c>
      <c r="L16" s="785" t="s">
        <v>19</v>
      </c>
      <c r="M16" s="785" t="s">
        <v>20</v>
      </c>
      <c r="N16" s="786" t="s">
        <v>21</v>
      </c>
      <c r="P16" s="481" t="s">
        <v>45</v>
      </c>
      <c r="Q16" s="485" t="s">
        <v>203</v>
      </c>
      <c r="R16" s="489">
        <f t="shared" si="0"/>
        <v>0</v>
      </c>
    </row>
    <row r="17" spans="1:18" ht="15" customHeight="1">
      <c r="A17" s="746">
        <v>9.375</v>
      </c>
      <c r="B17" s="746">
        <v>97.394999999999996</v>
      </c>
      <c r="C17" s="746">
        <v>97.394999999999996</v>
      </c>
      <c r="D17" s="746">
        <v>97.394999999999996</v>
      </c>
      <c r="E17" s="756"/>
      <c r="F17" s="757"/>
      <c r="G17" s="788" t="s">
        <v>432</v>
      </c>
      <c r="H17" s="792">
        <v>0</v>
      </c>
      <c r="I17" s="793">
        <v>0</v>
      </c>
      <c r="J17" s="793">
        <v>0</v>
      </c>
      <c r="K17" s="793">
        <v>0</v>
      </c>
      <c r="L17" s="793">
        <v>0</v>
      </c>
      <c r="M17" s="793">
        <v>0</v>
      </c>
      <c r="N17" s="794">
        <v>0</v>
      </c>
      <c r="P17" s="481" t="s">
        <v>381</v>
      </c>
      <c r="Q17" s="485" t="s">
        <v>203</v>
      </c>
      <c r="R17" s="489">
        <f t="shared" si="0"/>
        <v>0</v>
      </c>
    </row>
    <row r="18" spans="1:18" ht="15" customHeight="1">
      <c r="A18" s="746">
        <v>9.5</v>
      </c>
      <c r="B18" s="746">
        <v>97.644999999999996</v>
      </c>
      <c r="C18" s="746">
        <v>97.644999999999996</v>
      </c>
      <c r="D18" s="746">
        <v>97.644999999999996</v>
      </c>
      <c r="E18" s="747"/>
      <c r="F18" s="757"/>
      <c r="G18" s="805" t="s">
        <v>461</v>
      </c>
      <c r="H18" s="792">
        <v>-0.25</v>
      </c>
      <c r="I18" s="793">
        <v>-0.25</v>
      </c>
      <c r="J18" s="793">
        <v>-0.25</v>
      </c>
      <c r="K18" s="793">
        <v>-0.25</v>
      </c>
      <c r="L18" s="793">
        <v>-0.25</v>
      </c>
      <c r="M18" s="793">
        <v>-0.25</v>
      </c>
      <c r="N18" s="794">
        <v>-0.5</v>
      </c>
      <c r="P18" s="481" t="s">
        <v>452</v>
      </c>
      <c r="Q18" s="485" t="s">
        <v>203</v>
      </c>
      <c r="R18" s="489">
        <f t="shared" si="0"/>
        <v>0</v>
      </c>
    </row>
    <row r="19" spans="1:18" ht="15" customHeight="1">
      <c r="A19" s="746">
        <v>9.625</v>
      </c>
      <c r="B19" s="746">
        <v>97.894999999999996</v>
      </c>
      <c r="C19" s="746">
        <v>97.894999999999996</v>
      </c>
      <c r="D19" s="746">
        <v>97.894999999999996</v>
      </c>
      <c r="E19" s="747"/>
      <c r="F19" s="757"/>
      <c r="G19" s="805" t="s">
        <v>89</v>
      </c>
      <c r="H19" s="792">
        <v>-0.25</v>
      </c>
      <c r="I19" s="793">
        <v>-0.25</v>
      </c>
      <c r="J19" s="793">
        <v>-0.375</v>
      </c>
      <c r="K19" s="793">
        <v>-0.5</v>
      </c>
      <c r="L19" s="793">
        <v>-0.625</v>
      </c>
      <c r="M19" s="793">
        <v>-0.75</v>
      </c>
      <c r="N19" s="794">
        <v>-1</v>
      </c>
      <c r="P19" s="481" t="s">
        <v>453</v>
      </c>
      <c r="Q19" s="485" t="s">
        <v>203</v>
      </c>
      <c r="R19" s="489">
        <f t="shared" si="0"/>
        <v>0</v>
      </c>
    </row>
    <row r="20" spans="1:18" ht="15" customHeight="1">
      <c r="A20" s="746">
        <v>9.75</v>
      </c>
      <c r="B20" s="746">
        <v>98.144999999999996</v>
      </c>
      <c r="C20" s="746">
        <v>98.144999999999996</v>
      </c>
      <c r="D20" s="746">
        <v>98.144999999999996</v>
      </c>
      <c r="E20" s="747"/>
      <c r="F20" s="757"/>
      <c r="G20" s="758" t="s">
        <v>63</v>
      </c>
      <c r="H20" s="795">
        <v>-0.25</v>
      </c>
      <c r="I20" s="793">
        <v>-0.25</v>
      </c>
      <c r="J20" s="793">
        <v>-0.25</v>
      </c>
      <c r="K20" s="793">
        <v>-0.25</v>
      </c>
      <c r="L20" s="793">
        <v>-0.25</v>
      </c>
      <c r="M20" s="793">
        <v>-0.5</v>
      </c>
      <c r="N20" s="793">
        <v>-0.5</v>
      </c>
      <c r="P20" s="481" t="s">
        <v>217</v>
      </c>
      <c r="Q20" s="485">
        <v>30</v>
      </c>
      <c r="R20" s="489">
        <f>IF(Q20=15,0,IF(Q20=30,H33))</f>
        <v>-0.25</v>
      </c>
    </row>
    <row r="21" spans="1:18" ht="15" customHeight="1" thickBot="1">
      <c r="A21" s="746">
        <v>9.875</v>
      </c>
      <c r="B21" s="746">
        <v>98.394999999999996</v>
      </c>
      <c r="C21" s="746">
        <v>98.394999999999996</v>
      </c>
      <c r="D21" s="746">
        <v>98.394999999999996</v>
      </c>
      <c r="E21" s="747"/>
      <c r="F21" s="757"/>
      <c r="G21" s="759" t="s">
        <v>433</v>
      </c>
      <c r="H21" s="795">
        <v>-0.25</v>
      </c>
      <c r="I21" s="793">
        <v>-0.25</v>
      </c>
      <c r="J21" s="793">
        <v>-0.25</v>
      </c>
      <c r="K21" s="793">
        <v>-0.25</v>
      </c>
      <c r="L21" s="793">
        <v>-0.5</v>
      </c>
      <c r="M21" s="793">
        <v>-0.5</v>
      </c>
      <c r="N21" s="800" t="s">
        <v>14</v>
      </c>
      <c r="P21" s="482" t="s">
        <v>218</v>
      </c>
      <c r="Q21" s="486"/>
      <c r="R21" s="490">
        <f>R12+R13+R14+R15+R16+R17+R18+R19+R20</f>
        <v>-0.25</v>
      </c>
    </row>
    <row r="22" spans="1:18" ht="15" customHeight="1" thickBot="1">
      <c r="A22" s="746">
        <v>10</v>
      </c>
      <c r="B22" s="746">
        <v>98.644999999999996</v>
      </c>
      <c r="C22" s="746">
        <v>98.644999999999996</v>
      </c>
      <c r="D22" s="746">
        <v>98.644999999999996</v>
      </c>
      <c r="E22" s="747"/>
      <c r="F22" s="757"/>
      <c r="G22" s="758" t="s">
        <v>381</v>
      </c>
      <c r="H22" s="795">
        <v>-0.25</v>
      </c>
      <c r="I22" s="793">
        <v>-0.25</v>
      </c>
      <c r="J22" s="793">
        <v>-0.5</v>
      </c>
      <c r="K22" s="793">
        <v>-0.5</v>
      </c>
      <c r="L22" s="793">
        <v>-0.5</v>
      </c>
      <c r="M22" s="793">
        <v>-0.5</v>
      </c>
      <c r="N22" s="800">
        <v>-0.75</v>
      </c>
      <c r="P22" s="473"/>
      <c r="Q22" s="474"/>
      <c r="R22" s="483"/>
    </row>
    <row r="23" spans="1:18" ht="15" customHeight="1" thickBot="1">
      <c r="A23" s="746">
        <v>10.125</v>
      </c>
      <c r="B23" s="746">
        <v>98.894999999999996</v>
      </c>
      <c r="C23" s="746">
        <v>98.894999999999996</v>
      </c>
      <c r="D23" s="746">
        <v>98.894999999999996</v>
      </c>
      <c r="E23" s="747"/>
      <c r="F23" s="757"/>
      <c r="G23" s="758" t="s">
        <v>434</v>
      </c>
      <c r="H23" s="795">
        <v>-0.25</v>
      </c>
      <c r="I23" s="793">
        <v>-0.25</v>
      </c>
      <c r="J23" s="793">
        <v>-0.25</v>
      </c>
      <c r="K23" s="793">
        <v>-0.25</v>
      </c>
      <c r="L23" s="793">
        <v>-0.25</v>
      </c>
      <c r="M23" s="793">
        <v>-0.25</v>
      </c>
      <c r="N23" s="800" t="s">
        <v>14</v>
      </c>
      <c r="P23" s="475" t="s">
        <v>219</v>
      </c>
      <c r="Q23" s="476"/>
      <c r="R23" s="663">
        <f>IF(ISNUMBER(MATCH("NA", R12:R19, 0)), "NA",MIN(R21+R10,D36))</f>
        <v>96.894999999999996</v>
      </c>
    </row>
    <row r="24" spans="1:18" ht="15" customHeight="1" thickBot="1">
      <c r="A24" s="746">
        <v>10.25</v>
      </c>
      <c r="B24" s="746">
        <v>99.144999999999996</v>
      </c>
      <c r="C24" s="746">
        <v>99.144999999999996</v>
      </c>
      <c r="D24" s="746">
        <v>99.144999999999996</v>
      </c>
      <c r="E24" s="747"/>
      <c r="F24" s="757"/>
      <c r="G24" s="760" t="s">
        <v>435</v>
      </c>
      <c r="H24" s="795">
        <v>-0.5</v>
      </c>
      <c r="I24" s="793">
        <v>-0.5</v>
      </c>
      <c r="J24" s="793">
        <v>-0.5</v>
      </c>
      <c r="K24" s="793">
        <v>-0.5</v>
      </c>
      <c r="L24" s="793">
        <v>-0.75</v>
      </c>
      <c r="M24" s="793">
        <v>-0.75</v>
      </c>
      <c r="N24" s="800">
        <v>-1.25</v>
      </c>
      <c r="P24" s="470"/>
      <c r="Q24" s="470"/>
      <c r="R24" s="470"/>
    </row>
    <row r="25" spans="1:18" ht="15.75" thickBot="1">
      <c r="A25" s="746">
        <v>10.375</v>
      </c>
      <c r="B25" s="746">
        <v>99.394999999999996</v>
      </c>
      <c r="C25" s="746">
        <v>99.394999999999996</v>
      </c>
      <c r="D25" s="746">
        <v>99.394999999999996</v>
      </c>
      <c r="E25" s="747"/>
      <c r="F25" s="757"/>
      <c r="G25" s="761" t="s">
        <v>436</v>
      </c>
      <c r="H25" s="795">
        <v>-0.25</v>
      </c>
      <c r="I25" s="793">
        <v>-0.25</v>
      </c>
      <c r="J25" s="793">
        <v>-0.25</v>
      </c>
      <c r="K25" s="793">
        <v>-0.25</v>
      </c>
      <c r="L25" s="793">
        <v>-0.5</v>
      </c>
      <c r="M25" s="793">
        <v>-0.75</v>
      </c>
      <c r="N25" s="800">
        <v>-1</v>
      </c>
      <c r="P25" s="846" t="s">
        <v>455</v>
      </c>
      <c r="Q25" s="847"/>
      <c r="R25" s="848"/>
    </row>
    <row r="26" spans="1:18" ht="15.75" thickBot="1">
      <c r="A26" s="746">
        <v>10.5</v>
      </c>
      <c r="B26" s="746">
        <v>99.644999999999996</v>
      </c>
      <c r="C26" s="746">
        <v>99.644999999999996</v>
      </c>
      <c r="D26" s="746">
        <v>99.644999999999996</v>
      </c>
      <c r="E26" s="747"/>
      <c r="F26" s="762"/>
      <c r="G26" s="763" t="s">
        <v>437</v>
      </c>
      <c r="H26" s="797">
        <v>0</v>
      </c>
      <c r="I26" s="798">
        <v>0</v>
      </c>
      <c r="J26" s="798">
        <v>0</v>
      </c>
      <c r="K26" s="798">
        <v>-0.25</v>
      </c>
      <c r="L26" s="798">
        <v>-0.5</v>
      </c>
      <c r="M26" s="798">
        <v>-0.75</v>
      </c>
      <c r="N26" s="799" t="s">
        <v>14</v>
      </c>
    </row>
    <row r="27" spans="1:18" ht="15.75" thickBot="1">
      <c r="A27" s="746">
        <v>10.625</v>
      </c>
      <c r="B27" s="746">
        <v>99.894999999999996</v>
      </c>
      <c r="C27" s="746">
        <v>99.894999999999996</v>
      </c>
      <c r="D27" s="746">
        <v>99.894999999999996</v>
      </c>
      <c r="E27" s="747"/>
    </row>
    <row r="28" spans="1:18" ht="15.75" thickBot="1">
      <c r="A28" s="746">
        <v>10.75</v>
      </c>
      <c r="B28" s="746">
        <v>100.145</v>
      </c>
      <c r="C28" s="746">
        <v>100.145</v>
      </c>
      <c r="D28" s="746">
        <v>100.145</v>
      </c>
      <c r="E28" s="747"/>
      <c r="F28" s="780" t="s">
        <v>438</v>
      </c>
      <c r="G28" s="778"/>
      <c r="H28" s="778"/>
      <c r="I28" s="778"/>
      <c r="J28" s="778"/>
      <c r="K28" s="778"/>
      <c r="L28" s="778"/>
      <c r="M28" s="778"/>
      <c r="N28" s="495"/>
    </row>
    <row r="29" spans="1:18" ht="15.75" thickBot="1">
      <c r="A29" s="746">
        <v>10.875</v>
      </c>
      <c r="B29" s="746">
        <v>100.395</v>
      </c>
      <c r="C29" s="746">
        <v>100.395</v>
      </c>
      <c r="D29" s="746">
        <v>100.395</v>
      </c>
      <c r="E29" s="765"/>
      <c r="F29" s="764" t="s">
        <v>439</v>
      </c>
      <c r="G29" s="781" t="s">
        <v>440</v>
      </c>
      <c r="H29" s="782"/>
      <c r="I29" s="782"/>
      <c r="J29" s="782"/>
      <c r="K29" s="782"/>
      <c r="L29" s="782"/>
      <c r="M29" s="782"/>
      <c r="N29" s="783"/>
    </row>
    <row r="30" spans="1:18" ht="15.75" thickBot="1">
      <c r="A30" s="746">
        <v>11</v>
      </c>
      <c r="B30" s="746">
        <v>100.645</v>
      </c>
      <c r="C30" s="746">
        <v>100.645</v>
      </c>
      <c r="D30" s="746">
        <v>100.645</v>
      </c>
      <c r="E30" s="770"/>
      <c r="F30" s="766" t="s">
        <v>441</v>
      </c>
      <c r="G30" s="767" t="s">
        <v>442</v>
      </c>
      <c r="H30" s="768"/>
      <c r="I30" s="768"/>
      <c r="J30" s="768"/>
      <c r="K30" s="768"/>
      <c r="L30" s="768"/>
      <c r="M30" s="768"/>
      <c r="N30" s="769"/>
    </row>
    <row r="31" spans="1:18" ht="15.75" thickBot="1">
      <c r="A31" s="746">
        <v>11.125</v>
      </c>
      <c r="B31" s="746">
        <v>100.895</v>
      </c>
      <c r="C31" s="746">
        <v>100.895</v>
      </c>
      <c r="D31" s="746">
        <v>100.895</v>
      </c>
      <c r="E31" s="770"/>
      <c r="P31"/>
      <c r="Q31"/>
      <c r="R31"/>
    </row>
    <row r="32" spans="1:18" ht="15" customHeight="1" thickBot="1">
      <c r="A32" s="746">
        <v>11.25</v>
      </c>
      <c r="B32" s="746">
        <v>101.145</v>
      </c>
      <c r="C32" s="746">
        <v>101.145</v>
      </c>
      <c r="D32" s="746">
        <v>101.145</v>
      </c>
      <c r="F32" s="777"/>
      <c r="G32" s="778" t="s">
        <v>443</v>
      </c>
      <c r="H32" s="779" t="s">
        <v>444</v>
      </c>
      <c r="J32" s="1944" t="s">
        <v>419</v>
      </c>
      <c r="K32" s="1945"/>
      <c r="L32" s="1945"/>
      <c r="M32" s="1945"/>
      <c r="N32" s="1946"/>
      <c r="P32"/>
      <c r="Q32"/>
      <c r="R32"/>
    </row>
    <row r="33" spans="1:18" ht="15" customHeight="1" thickBot="1">
      <c r="A33" s="746">
        <v>11.375</v>
      </c>
      <c r="B33" s="746">
        <v>101.395</v>
      </c>
      <c r="C33" s="746">
        <v>101.395</v>
      </c>
      <c r="D33" s="746">
        <v>101.395</v>
      </c>
      <c r="F33" s="801" t="s">
        <v>217</v>
      </c>
      <c r="G33" s="802">
        <v>30</v>
      </c>
      <c r="H33" s="803">
        <v>-0.25</v>
      </c>
      <c r="J33" s="777"/>
      <c r="K33" s="779"/>
      <c r="L33" s="777"/>
      <c r="M33" s="495"/>
      <c r="N33" s="495"/>
      <c r="P33"/>
      <c r="Q33"/>
      <c r="R33"/>
    </row>
    <row r="34" spans="1:18" ht="15">
      <c r="A34" s="746">
        <v>11.5</v>
      </c>
      <c r="B34" s="746">
        <v>101.645</v>
      </c>
      <c r="C34" s="746">
        <v>101.645</v>
      </c>
      <c r="D34" s="746">
        <v>101.645</v>
      </c>
      <c r="J34" s="1950" t="s">
        <v>421</v>
      </c>
      <c r="K34" s="1951"/>
      <c r="L34" s="1940" t="s">
        <v>422</v>
      </c>
      <c r="M34" s="1941"/>
      <c r="N34" s="1395">
        <v>125000</v>
      </c>
      <c r="P34"/>
      <c r="Q34"/>
      <c r="R34"/>
    </row>
    <row r="35" spans="1:18" ht="15.75" customHeight="1" thickBot="1">
      <c r="A35" s="771"/>
      <c r="B35" s="756"/>
      <c r="C35" s="756"/>
      <c r="D35" s="756"/>
      <c r="F35" s="789"/>
      <c r="G35" s="790"/>
      <c r="H35" s="774"/>
      <c r="J35" s="1950"/>
      <c r="K35" s="1951"/>
      <c r="L35" s="1940" t="s">
        <v>423</v>
      </c>
      <c r="M35" s="1941"/>
      <c r="N35" s="1395">
        <v>1500000</v>
      </c>
      <c r="P35"/>
      <c r="Q35"/>
      <c r="R35"/>
    </row>
    <row r="36" spans="1:18" ht="15.75" thickBot="1">
      <c r="A36" s="772" t="s">
        <v>445</v>
      </c>
      <c r="B36" s="773"/>
      <c r="C36" s="773"/>
      <c r="D36" s="791">
        <v>100.5</v>
      </c>
      <c r="H36" s="774"/>
      <c r="I36" s="774"/>
      <c r="J36" s="1950"/>
      <c r="K36" s="1951"/>
      <c r="L36" s="1940" t="s">
        <v>424</v>
      </c>
      <c r="M36" s="1941"/>
      <c r="N36" s="1395" t="s">
        <v>425</v>
      </c>
      <c r="P36"/>
      <c r="Q36"/>
      <c r="R36"/>
    </row>
    <row r="37" spans="1:18" ht="15.75" thickBot="1">
      <c r="A37" s="743"/>
      <c r="B37" s="743"/>
      <c r="C37" s="743"/>
      <c r="D37" s="775"/>
      <c r="J37" s="1952" t="s">
        <v>45</v>
      </c>
      <c r="K37" s="1953"/>
      <c r="L37" s="1954" t="s">
        <v>427</v>
      </c>
      <c r="M37" s="1955"/>
      <c r="N37" s="1396">
        <v>50</v>
      </c>
      <c r="P37"/>
      <c r="Q37"/>
      <c r="R37"/>
    </row>
    <row r="38" spans="1:18" ht="15.75" customHeight="1">
      <c r="J38" s="1950" t="s">
        <v>428</v>
      </c>
      <c r="K38" s="1951"/>
      <c r="L38" s="1940" t="s">
        <v>429</v>
      </c>
      <c r="M38" s="1941"/>
      <c r="N38" s="1397">
        <v>48</v>
      </c>
      <c r="P38"/>
      <c r="Q38"/>
      <c r="R38"/>
    </row>
    <row r="39" spans="1:18" ht="13.5" thickBot="1">
      <c r="J39" s="1956"/>
      <c r="K39" s="1957"/>
      <c r="L39" s="1942" t="s">
        <v>430</v>
      </c>
      <c r="M39" s="1943"/>
      <c r="N39" s="1398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disablePrompts="1"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04DE9378-091F-4FA3-81F0-11124F813AD2}">
          <x14:formula1>
            <xm:f>margins!$R$166:$R$167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margins!$C$119:$C$121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margins!$R$178:$R$180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margins!$R$175:$R$176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margins!$R$169:$R$170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margins!$R$172:$R$173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margins!$R$163:$R$164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margins!$R$158:$R$161</xm:f>
          </x14:formula1>
          <xm:sqref>Q13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28.7109375" style="1057" bestFit="1" customWidth="1"/>
    <col min="3" max="3" width="14.85546875" style="1057" customWidth="1"/>
    <col min="4" max="4" width="15.140625" style="1057" customWidth="1"/>
    <col min="5" max="5" width="15.5703125" style="1057" customWidth="1"/>
    <col min="6" max="6" width="16.85546875" style="1057" customWidth="1"/>
    <col min="7" max="7" width="16.42578125" style="1057" customWidth="1"/>
    <col min="8" max="8" width="14.7109375" style="1057" customWidth="1"/>
    <col min="9" max="9" width="11.5703125" style="1057" bestFit="1" customWidth="1"/>
    <col min="10" max="10" width="17.710937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 customWidth="1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9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6">
        <f ca="1">NOW()</f>
        <v>45978.399704166666</v>
      </c>
      <c r="L2" s="1756"/>
      <c r="M2" s="1478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5" t="s">
        <v>648</v>
      </c>
      <c r="L3" s="1755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2"/>
      <c r="L4" s="1462"/>
      <c r="M4" s="1470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7"/>
      <c r="L5" s="1462" t="s">
        <v>183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70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70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1"/>
    </row>
    <row r="10" spans="1:17" s="1057" customFormat="1" ht="14.25" customHeight="1" thickBot="1">
      <c r="A10" s="1757" t="s">
        <v>340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9"/>
      <c r="O10" s="1920" t="s">
        <v>454</v>
      </c>
      <c r="P10" s="1921"/>
      <c r="Q10" s="1922"/>
    </row>
    <row r="11" spans="1:17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2"/>
      <c r="O11" s="471"/>
      <c r="P11" s="471"/>
      <c r="Q11" s="47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430" t="s">
        <v>207</v>
      </c>
      <c r="P12" s="1430" t="s">
        <v>208</v>
      </c>
      <c r="Q12" s="1430" t="s">
        <v>209</v>
      </c>
    </row>
    <row r="13" spans="1:17" s="1057" customFormat="1" ht="15.75" thickBot="1">
      <c r="A13" s="1250"/>
      <c r="B13" s="1920" t="s">
        <v>450</v>
      </c>
      <c r="C13" s="1921"/>
      <c r="D13" s="1921"/>
      <c r="E13" s="1922"/>
      <c r="G13" s="1202" t="s">
        <v>645</v>
      </c>
      <c r="H13" s="1201"/>
      <c r="J13"/>
      <c r="K13"/>
      <c r="L13"/>
      <c r="M13" s="1061"/>
      <c r="O13" s="471"/>
      <c r="P13" s="471"/>
      <c r="Q13" s="471"/>
    </row>
    <row r="14" spans="1:17" s="1057" customFormat="1" ht="15.75" thickBot="1">
      <c r="A14" s="1250"/>
      <c r="B14" s="1430" t="s">
        <v>226</v>
      </c>
      <c r="C14" s="1430" t="s">
        <v>227</v>
      </c>
      <c r="D14" s="1430" t="s">
        <v>13</v>
      </c>
      <c r="E14" s="1430" t="s">
        <v>420</v>
      </c>
      <c r="G14" s="1233" t="s">
        <v>8</v>
      </c>
      <c r="H14" s="1296">
        <v>0</v>
      </c>
      <c r="J14"/>
      <c r="K14"/>
      <c r="L14"/>
      <c r="M14" s="1061"/>
      <c r="O14" s="480" t="s">
        <v>210</v>
      </c>
      <c r="P14" s="484" t="s">
        <v>204</v>
      </c>
      <c r="Q14" s="488"/>
    </row>
    <row r="15" spans="1:17" s="1057" customFormat="1" ht="15.75" customHeight="1" thickBot="1">
      <c r="A15" s="1250"/>
      <c r="B15" s="1502">
        <v>8.375</v>
      </c>
      <c r="C15" s="1503">
        <v>95.394999999999996</v>
      </c>
      <c r="D15" s="1503">
        <v>95.394999999999996</v>
      </c>
      <c r="E15" s="1503">
        <v>95.394999999999996</v>
      </c>
      <c r="G15" s="1222" t="s">
        <v>10</v>
      </c>
      <c r="H15" s="1508">
        <v>-0.25</v>
      </c>
      <c r="J15"/>
      <c r="K15"/>
      <c r="L15"/>
      <c r="M15" s="1061"/>
      <c r="O15" s="481" t="s">
        <v>211</v>
      </c>
      <c r="P15" s="485">
        <v>9.25</v>
      </c>
      <c r="Q15" s="489">
        <f>IF(P14="7/6 Arm",VLOOKUP(P15,$B$15:$E$41,3,FALSE),IF(P14="5/6 Arm",VLOOKUP(P15,$B$15:$E$41,2,FALSE),VLOOKUP(P15,$B$15:$E$41,4,FALSE)))</f>
        <v>97.144999999999996</v>
      </c>
    </row>
    <row r="16" spans="1:17" s="1057" customFormat="1">
      <c r="A16" s="1250"/>
      <c r="B16" s="1480">
        <v>8.5</v>
      </c>
      <c r="C16" s="1503">
        <v>95.644999999999996</v>
      </c>
      <c r="D16" s="1503">
        <v>95.644999999999996</v>
      </c>
      <c r="E16" s="1503">
        <v>95.644999999999996</v>
      </c>
      <c r="G16"/>
      <c r="H16"/>
      <c r="J16"/>
      <c r="K16"/>
      <c r="L16"/>
      <c r="M16" s="1061"/>
      <c r="O16" s="481" t="s">
        <v>386</v>
      </c>
      <c r="P16" s="485" t="s">
        <v>15</v>
      </c>
      <c r="Q16" s="489"/>
    </row>
    <row r="17" spans="1:17" s="1057" customFormat="1" ht="15.75" thickBot="1">
      <c r="A17" s="1250"/>
      <c r="B17" s="1480">
        <v>8.625</v>
      </c>
      <c r="C17" s="1503">
        <v>95.894999999999996</v>
      </c>
      <c r="D17" s="1503">
        <v>95.894999999999996</v>
      </c>
      <c r="E17" s="1503">
        <v>95.894999999999996</v>
      </c>
      <c r="G17"/>
      <c r="H17"/>
      <c r="J17"/>
      <c r="K17"/>
      <c r="L17"/>
      <c r="M17" s="1070"/>
      <c r="O17" s="481" t="s">
        <v>212</v>
      </c>
      <c r="P17" s="485" t="s">
        <v>322</v>
      </c>
      <c r="Q17" s="489">
        <f>IFERROR(INDEX($C$45:$I$49,MATCH(P17,$B$45:$B$49,0),MATCH($Q$11,$C$44:$I$44,0),1),0)</f>
        <v>0</v>
      </c>
    </row>
    <row r="18" spans="1:17" s="1057" customFormat="1" ht="15" customHeight="1">
      <c r="A18" s="1250"/>
      <c r="B18" s="1480">
        <v>8.75</v>
      </c>
      <c r="C18" s="1503">
        <v>96.144999999999996</v>
      </c>
      <c r="D18" s="1503">
        <v>96.144999999999996</v>
      </c>
      <c r="E18" s="1503">
        <v>96.144999999999996</v>
      </c>
      <c r="G18" s="1728" t="s">
        <v>438</v>
      </c>
      <c r="H18" s="1729"/>
      <c r="I18" s="1729"/>
      <c r="J18" s="1729"/>
      <c r="K18" s="1729"/>
      <c r="L18" s="1730"/>
      <c r="M18" s="1061"/>
      <c r="O18" s="481" t="s">
        <v>462</v>
      </c>
      <c r="P18" s="485" t="s">
        <v>203</v>
      </c>
      <c r="Q18" s="489">
        <f t="shared" ref="Q18:Q24" si="0">IFERROR(INDEX($C$53:$I$62,MATCH(P18,$B$53:$B$62,0),MATCH($Q$11,$C$52:$I$52,0),1),0)</f>
        <v>0</v>
      </c>
    </row>
    <row r="19" spans="1:17" s="1057" customFormat="1">
      <c r="A19" s="1250"/>
      <c r="B19" s="1480">
        <v>8.875</v>
      </c>
      <c r="C19" s="1503">
        <v>96.394999999999996</v>
      </c>
      <c r="D19" s="1503">
        <v>96.394999999999996</v>
      </c>
      <c r="E19" s="1503">
        <v>96.394999999999996</v>
      </c>
      <c r="G19" s="1509" t="s">
        <v>439</v>
      </c>
      <c r="H19" s="1986" t="s">
        <v>440</v>
      </c>
      <c r="I19" s="1987"/>
      <c r="J19" s="1987"/>
      <c r="K19" s="1987"/>
      <c r="L19" s="1988"/>
      <c r="M19" s="1061"/>
      <c r="O19" s="481" t="s">
        <v>63</v>
      </c>
      <c r="P19" s="485" t="s">
        <v>203</v>
      </c>
      <c r="Q19" s="489">
        <f t="shared" si="0"/>
        <v>0</v>
      </c>
    </row>
    <row r="20" spans="1:17" s="1057" customFormat="1" ht="15.75" thickBot="1">
      <c r="A20" s="1250"/>
      <c r="B20" s="1480">
        <v>9</v>
      </c>
      <c r="C20" s="1503">
        <v>96.644999999999996</v>
      </c>
      <c r="D20" s="1503">
        <v>96.644999999999996</v>
      </c>
      <c r="E20" s="1503">
        <v>96.644999999999996</v>
      </c>
      <c r="G20" s="1510" t="s">
        <v>441</v>
      </c>
      <c r="H20" s="1989" t="s">
        <v>442</v>
      </c>
      <c r="I20" s="1990"/>
      <c r="J20" s="1990"/>
      <c r="K20" s="1990"/>
      <c r="L20" s="1991"/>
      <c r="M20" s="1061"/>
      <c r="O20" s="481" t="s">
        <v>451</v>
      </c>
      <c r="P20" s="485" t="s">
        <v>203</v>
      </c>
      <c r="Q20" s="489">
        <f t="shared" si="0"/>
        <v>0</v>
      </c>
    </row>
    <row r="21" spans="1:17" s="1057" customFormat="1" ht="15" customHeight="1">
      <c r="A21" s="1250"/>
      <c r="B21" s="1480">
        <v>9.125</v>
      </c>
      <c r="C21" s="1503">
        <v>96.894999999999996</v>
      </c>
      <c r="D21" s="1503">
        <v>96.894999999999996</v>
      </c>
      <c r="E21" s="1503">
        <v>96.894999999999996</v>
      </c>
      <c r="G21"/>
      <c r="H21"/>
      <c r="I21" s="1205"/>
      <c r="M21" s="1061"/>
      <c r="O21" s="481" t="s">
        <v>45</v>
      </c>
      <c r="P21" s="485" t="s">
        <v>203</v>
      </c>
      <c r="Q21" s="489">
        <f t="shared" si="0"/>
        <v>0</v>
      </c>
    </row>
    <row r="22" spans="1:17" s="1057" customFormat="1" ht="15.75" thickBot="1">
      <c r="A22" s="1250"/>
      <c r="B22" s="1480">
        <v>9.25</v>
      </c>
      <c r="C22" s="1503">
        <v>97.144999999999996</v>
      </c>
      <c r="D22" s="1503">
        <v>97.144999999999996</v>
      </c>
      <c r="E22" s="1503">
        <v>97.144999999999996</v>
      </c>
      <c r="G22"/>
      <c r="H22"/>
      <c r="M22" s="1061"/>
      <c r="O22" s="481" t="s">
        <v>381</v>
      </c>
      <c r="P22" s="485" t="s">
        <v>203</v>
      </c>
      <c r="Q22" s="489">
        <f t="shared" si="0"/>
        <v>0</v>
      </c>
    </row>
    <row r="23" spans="1:17" s="1057" customFormat="1" ht="15.75" thickBot="1">
      <c r="A23" s="1203"/>
      <c r="B23" s="1480">
        <v>9.375</v>
      </c>
      <c r="C23" s="1503">
        <v>97.394999999999996</v>
      </c>
      <c r="D23" s="1503">
        <v>97.394999999999996</v>
      </c>
      <c r="E23" s="1503">
        <v>97.394999999999996</v>
      </c>
      <c r="G23" s="1920" t="s">
        <v>419</v>
      </c>
      <c r="H23" s="1921"/>
      <c r="I23" s="1921"/>
      <c r="J23" s="1921"/>
      <c r="K23" s="1921"/>
      <c r="L23" s="1922"/>
      <c r="M23" s="1472"/>
      <c r="O23" s="481" t="s">
        <v>452</v>
      </c>
      <c r="P23" s="485" t="s">
        <v>203</v>
      </c>
      <c r="Q23" s="489">
        <f t="shared" si="0"/>
        <v>0</v>
      </c>
    </row>
    <row r="24" spans="1:17" s="1057" customFormat="1" ht="14.25" customHeight="1">
      <c r="A24" s="1203"/>
      <c r="B24" s="1480">
        <v>9.5</v>
      </c>
      <c r="C24" s="1503">
        <v>97.644999999999996</v>
      </c>
      <c r="D24" s="1503">
        <v>97.644999999999996</v>
      </c>
      <c r="E24" s="1503">
        <v>97.644999999999996</v>
      </c>
      <c r="G24" s="1982" t="s">
        <v>421</v>
      </c>
      <c r="H24" s="1983"/>
      <c r="I24" s="1958" t="s">
        <v>422</v>
      </c>
      <c r="J24" s="1959"/>
      <c r="K24" s="1992">
        <v>125000</v>
      </c>
      <c r="L24" s="1993"/>
      <c r="M24" s="1477"/>
      <c r="O24" s="481" t="s">
        <v>453</v>
      </c>
      <c r="P24" s="485" t="s">
        <v>203</v>
      </c>
      <c r="Q24" s="489">
        <f t="shared" si="0"/>
        <v>0</v>
      </c>
    </row>
    <row r="25" spans="1:17" s="1057" customFormat="1">
      <c r="A25" s="1203"/>
      <c r="B25" s="1480">
        <v>9.625</v>
      </c>
      <c r="C25" s="1503">
        <v>97.894999999999996</v>
      </c>
      <c r="D25" s="1503">
        <v>97.894999999999996</v>
      </c>
      <c r="E25" s="1503">
        <v>97.894999999999996</v>
      </c>
      <c r="G25" s="1976"/>
      <c r="H25" s="1977"/>
      <c r="I25" s="1960" t="s">
        <v>423</v>
      </c>
      <c r="J25" s="1961"/>
      <c r="K25" s="1994">
        <v>1500000</v>
      </c>
      <c r="L25" s="1995"/>
      <c r="M25" s="1477"/>
      <c r="O25" s="481" t="s">
        <v>217</v>
      </c>
      <c r="P25" s="485">
        <v>30</v>
      </c>
      <c r="Q25" s="489">
        <f>IF(P25=15,0,IF(P25=30,H15))</f>
        <v>-0.25</v>
      </c>
    </row>
    <row r="26" spans="1:17" s="1057" customFormat="1" ht="14.25" customHeight="1" thickBot="1">
      <c r="A26" s="1203"/>
      <c r="B26" s="1480">
        <v>9.75</v>
      </c>
      <c r="C26" s="1503">
        <v>98.144999999999996</v>
      </c>
      <c r="D26" s="1503">
        <v>98.144999999999996</v>
      </c>
      <c r="E26" s="1503">
        <v>98.144999999999996</v>
      </c>
      <c r="G26" s="1976"/>
      <c r="H26" s="1977"/>
      <c r="I26" s="1962" t="s">
        <v>424</v>
      </c>
      <c r="J26" s="1963"/>
      <c r="K26" s="1974" t="s">
        <v>425</v>
      </c>
      <c r="L26" s="1975"/>
      <c r="M26" s="1477"/>
      <c r="O26" s="482" t="s">
        <v>218</v>
      </c>
      <c r="P26" s="486"/>
      <c r="Q26" s="490">
        <f>Q17+Q18+Q19+Q20+Q21+Q22+Q23+Q24+Q25</f>
        <v>-0.25</v>
      </c>
    </row>
    <row r="27" spans="1:17" s="1057" customFormat="1" ht="15.75" thickBot="1">
      <c r="A27" s="1203"/>
      <c r="B27" s="1480">
        <v>9.875</v>
      </c>
      <c r="C27" s="1503">
        <v>98.394999999999996</v>
      </c>
      <c r="D27" s="1503">
        <v>98.394999999999996</v>
      </c>
      <c r="E27" s="1503">
        <v>98.394999999999996</v>
      </c>
      <c r="G27" s="1984" t="s">
        <v>45</v>
      </c>
      <c r="H27" s="1985"/>
      <c r="I27" s="1964" t="s">
        <v>427</v>
      </c>
      <c r="J27" s="1965"/>
      <c r="K27" s="1972">
        <v>50</v>
      </c>
      <c r="L27" s="1973"/>
      <c r="M27" s="1477"/>
      <c r="O27" s="473"/>
      <c r="P27" s="474"/>
      <c r="Q27" s="483"/>
    </row>
    <row r="28" spans="1:17" s="1057" customFormat="1" ht="14.25" customHeight="1" thickBot="1">
      <c r="A28" s="1203"/>
      <c r="B28" s="1480">
        <v>10</v>
      </c>
      <c r="C28" s="1503">
        <v>98.644999999999996</v>
      </c>
      <c r="D28" s="1503">
        <v>98.644999999999996</v>
      </c>
      <c r="E28" s="1503">
        <v>98.644999999999996</v>
      </c>
      <c r="G28" s="1976" t="s">
        <v>428</v>
      </c>
      <c r="H28" s="1977"/>
      <c r="I28" s="1966" t="s">
        <v>429</v>
      </c>
      <c r="J28" s="1967"/>
      <c r="K28" s="1970">
        <v>48</v>
      </c>
      <c r="L28" s="1971"/>
      <c r="M28" s="1477"/>
      <c r="O28" s="475" t="s">
        <v>219</v>
      </c>
      <c r="P28" s="476"/>
      <c r="Q28" s="663">
        <f>IF(ISNUMBER(MATCH("NA", Q17:Q24, 0)), "NA",MIN(Q26+Q15,C41))</f>
        <v>96.894999999999996</v>
      </c>
    </row>
    <row r="29" spans="1:17" s="1057" customFormat="1" ht="15.75" thickBot="1">
      <c r="A29" s="1203"/>
      <c r="B29" s="1480">
        <v>10.125</v>
      </c>
      <c r="C29" s="1503">
        <v>98.894999999999996</v>
      </c>
      <c r="D29" s="1503">
        <v>98.894999999999996</v>
      </c>
      <c r="E29" s="1503">
        <v>98.894999999999996</v>
      </c>
      <c r="G29" s="1978"/>
      <c r="H29" s="1979"/>
      <c r="I29" s="1980" t="s">
        <v>430</v>
      </c>
      <c r="J29" s="1981"/>
      <c r="K29" s="1968">
        <v>0.75</v>
      </c>
      <c r="L29" s="1969"/>
      <c r="M29" s="1477"/>
      <c r="O29" s="470"/>
      <c r="P29" s="470"/>
      <c r="Q29" s="470"/>
    </row>
    <row r="30" spans="1:17" s="1057" customFormat="1" ht="15.75" thickBot="1">
      <c r="A30" s="1203"/>
      <c r="B30" s="1480">
        <v>10.25</v>
      </c>
      <c r="C30" s="1503">
        <v>99.144999999999996</v>
      </c>
      <c r="D30" s="1503">
        <v>99.144999999999996</v>
      </c>
      <c r="E30" s="1503">
        <v>99.144999999999996</v>
      </c>
      <c r="L30"/>
      <c r="M30" s="1473"/>
      <c r="O30" s="846" t="s">
        <v>455</v>
      </c>
      <c r="P30" s="847"/>
      <c r="Q30" s="848"/>
    </row>
    <row r="31" spans="1:17" s="1057" customFormat="1" ht="15.75" thickBot="1">
      <c r="A31" s="1203"/>
      <c r="B31" s="1480">
        <v>10.375</v>
      </c>
      <c r="C31" s="1503">
        <v>99.394999999999996</v>
      </c>
      <c r="D31" s="1503">
        <v>99.394999999999996</v>
      </c>
      <c r="E31" s="1503">
        <v>99.394999999999996</v>
      </c>
      <c r="G31"/>
      <c r="H31"/>
      <c r="I31"/>
      <c r="J31"/>
      <c r="K31"/>
      <c r="L31"/>
      <c r="M31" s="1473"/>
      <c r="O31" s="846" t="s">
        <v>485</v>
      </c>
      <c r="P31" s="847"/>
      <c r="Q31" s="848"/>
    </row>
    <row r="32" spans="1:17" s="1057" customFormat="1">
      <c r="A32" s="1203"/>
      <c r="B32" s="1480">
        <v>10.5</v>
      </c>
      <c r="C32" s="1503">
        <v>99.644999999999996</v>
      </c>
      <c r="D32" s="1503">
        <v>99.644999999999996</v>
      </c>
      <c r="E32" s="1503">
        <v>99.644999999999996</v>
      </c>
      <c r="G32"/>
      <c r="H32"/>
      <c r="I32"/>
      <c r="J32"/>
      <c r="K32"/>
      <c r="M32" s="1061"/>
    </row>
    <row r="33" spans="1:13" s="1057" customFormat="1">
      <c r="A33" s="1203"/>
      <c r="B33" s="1480">
        <v>10.625</v>
      </c>
      <c r="C33" s="1503">
        <v>99.894999999999996</v>
      </c>
      <c r="D33" s="1503">
        <v>99.894999999999996</v>
      </c>
      <c r="E33" s="1503">
        <v>99.894999999999996</v>
      </c>
      <c r="G33"/>
      <c r="H33"/>
      <c r="I33"/>
      <c r="J33"/>
      <c r="K33"/>
      <c r="M33" s="1061"/>
    </row>
    <row r="34" spans="1:13" s="1057" customFormat="1">
      <c r="A34" s="1203"/>
      <c r="B34" s="1480">
        <v>10.75</v>
      </c>
      <c r="C34" s="1503">
        <v>100.145</v>
      </c>
      <c r="D34" s="1503">
        <v>100.145</v>
      </c>
      <c r="E34" s="1503">
        <v>100.145</v>
      </c>
      <c r="G34"/>
      <c r="H34"/>
      <c r="I34"/>
      <c r="J34"/>
      <c r="K34"/>
      <c r="M34" s="1061"/>
    </row>
    <row r="35" spans="1:13" s="1057" customFormat="1">
      <c r="A35" s="1203"/>
      <c r="B35" s="1480">
        <v>10.875</v>
      </c>
      <c r="C35" s="1503">
        <v>100.395</v>
      </c>
      <c r="D35" s="1503">
        <v>100.395</v>
      </c>
      <c r="E35" s="1503">
        <v>100.395</v>
      </c>
      <c r="M35" s="1061"/>
    </row>
    <row r="36" spans="1:13" s="1057" customFormat="1">
      <c r="A36" s="1203"/>
      <c r="B36" s="1480">
        <v>11</v>
      </c>
      <c r="C36" s="1503">
        <v>100.645</v>
      </c>
      <c r="D36" s="1503">
        <v>100.645</v>
      </c>
      <c r="E36" s="1503">
        <v>100.645</v>
      </c>
      <c r="M36" s="1061"/>
    </row>
    <row r="37" spans="1:13" s="1057" customFormat="1">
      <c r="A37" s="1203"/>
      <c r="B37" s="1480">
        <v>11.125</v>
      </c>
      <c r="C37" s="1503">
        <v>100.895</v>
      </c>
      <c r="D37" s="1503">
        <v>100.895</v>
      </c>
      <c r="E37" s="1503">
        <v>100.895</v>
      </c>
      <c r="M37" s="1061"/>
    </row>
    <row r="38" spans="1:13" s="1057" customFormat="1">
      <c r="A38" s="1203"/>
      <c r="B38" s="1480">
        <v>11.25</v>
      </c>
      <c r="C38" s="1503">
        <v>101.145</v>
      </c>
      <c r="D38" s="1503">
        <v>101.145</v>
      </c>
      <c r="E38" s="1503">
        <v>101.145</v>
      </c>
      <c r="M38" s="1061"/>
    </row>
    <row r="39" spans="1:13" s="1057" customFormat="1">
      <c r="A39" s="1203"/>
      <c r="B39" s="1480">
        <v>11.375</v>
      </c>
      <c r="C39" s="1503">
        <v>101.395</v>
      </c>
      <c r="D39" s="1503">
        <v>101.395</v>
      </c>
      <c r="E39" s="1503">
        <v>101.395</v>
      </c>
      <c r="M39" s="1061"/>
    </row>
    <row r="40" spans="1:13" s="1057" customFormat="1" ht="15.75" thickBot="1">
      <c r="A40" s="1203"/>
      <c r="B40" s="1490">
        <v>11.5</v>
      </c>
      <c r="C40" s="1504">
        <v>101.645</v>
      </c>
      <c r="D40" s="1504">
        <v>101.645</v>
      </c>
      <c r="E40" s="1504">
        <v>101.645</v>
      </c>
      <c r="M40" s="1061"/>
    </row>
    <row r="41" spans="1:13" s="1057" customFormat="1">
      <c r="A41" s="1203"/>
      <c r="B41"/>
      <c r="C41"/>
      <c r="D41"/>
      <c r="E41"/>
      <c r="F41"/>
      <c r="G41"/>
      <c r="M41" s="1061"/>
    </row>
    <row r="42" spans="1:13" s="1057" customFormat="1" ht="15.75" thickBot="1">
      <c r="A42" s="1203"/>
      <c r="B42"/>
      <c r="C42"/>
      <c r="D42"/>
      <c r="E42"/>
      <c r="F42"/>
      <c r="G42"/>
      <c r="M42" s="1061"/>
    </row>
    <row r="43" spans="1:13" s="1057" customFormat="1" ht="15" customHeight="1" thickBot="1">
      <c r="A43" s="1203"/>
      <c r="B43" s="1202" t="s">
        <v>244</v>
      </c>
      <c r="C43" s="1743" t="s">
        <v>329</v>
      </c>
      <c r="D43" s="1744"/>
      <c r="E43" s="1744"/>
      <c r="F43" s="1744"/>
      <c r="G43" s="1744"/>
      <c r="H43" s="1744"/>
      <c r="I43" s="1745"/>
      <c r="K43"/>
      <c r="L43"/>
      <c r="M43" s="1434"/>
    </row>
    <row r="44" spans="1:13" s="1057" customFormat="1" ht="15.75" thickBot="1">
      <c r="A44" s="1203"/>
      <c r="B44" s="1511" t="s">
        <v>203</v>
      </c>
      <c r="C44" s="1222" t="s">
        <v>15</v>
      </c>
      <c r="D44" s="1425" t="s">
        <v>16</v>
      </c>
      <c r="E44" s="1425" t="s">
        <v>17</v>
      </c>
      <c r="F44" s="1425" t="s">
        <v>18</v>
      </c>
      <c r="G44" s="1425" t="s">
        <v>19</v>
      </c>
      <c r="H44" s="1425" t="s">
        <v>20</v>
      </c>
      <c r="I44" s="1440" t="s">
        <v>21</v>
      </c>
      <c r="K44"/>
      <c r="L44"/>
      <c r="M44" s="1434"/>
    </row>
    <row r="45" spans="1:13" s="1057" customFormat="1">
      <c r="A45" s="1203"/>
      <c r="B45" s="1426" t="s">
        <v>116</v>
      </c>
      <c r="C45" s="1213">
        <v>0.25</v>
      </c>
      <c r="D45" s="1212">
        <v>0.25</v>
      </c>
      <c r="E45" s="1212">
        <v>0.25</v>
      </c>
      <c r="F45" s="1212">
        <v>0.125</v>
      </c>
      <c r="G45" s="1212">
        <v>0</v>
      </c>
      <c r="H45" s="1212">
        <v>-0.5</v>
      </c>
      <c r="I45" s="1211">
        <v>-2.5</v>
      </c>
      <c r="K45"/>
      <c r="L45"/>
      <c r="M45" s="1434"/>
    </row>
    <row r="46" spans="1:13" s="1057" customFormat="1">
      <c r="A46" s="1203"/>
      <c r="B46" s="1427" t="s">
        <v>323</v>
      </c>
      <c r="C46" s="1216">
        <v>0.125</v>
      </c>
      <c r="D46" s="1215">
        <v>0.125</v>
      </c>
      <c r="E46" s="1215">
        <v>0.125</v>
      </c>
      <c r="F46" s="1215">
        <v>0</v>
      </c>
      <c r="G46" s="1215">
        <v>-0.25</v>
      </c>
      <c r="H46" s="1215">
        <v>-0.625</v>
      </c>
      <c r="I46" s="1214">
        <v>-3</v>
      </c>
      <c r="K46"/>
      <c r="L46"/>
      <c r="M46" s="1434"/>
    </row>
    <row r="47" spans="1:13" s="1057" customFormat="1">
      <c r="A47" s="1203"/>
      <c r="B47" s="1427" t="s">
        <v>322</v>
      </c>
      <c r="C47" s="1216">
        <v>0</v>
      </c>
      <c r="D47" s="1215">
        <v>0</v>
      </c>
      <c r="E47" s="1215">
        <v>-0.125</v>
      </c>
      <c r="F47" s="1215">
        <v>-0.25</v>
      </c>
      <c r="G47" s="1215">
        <v>-0.625</v>
      </c>
      <c r="H47" s="1215">
        <v>-1</v>
      </c>
      <c r="I47" s="1214" t="s">
        <v>14</v>
      </c>
      <c r="K47"/>
      <c r="L47"/>
      <c r="M47" s="1434"/>
    </row>
    <row r="48" spans="1:13" s="1057" customFormat="1">
      <c r="A48" s="1203"/>
      <c r="B48" s="1427" t="s">
        <v>321</v>
      </c>
      <c r="C48" s="1216">
        <v>-0.125</v>
      </c>
      <c r="D48" s="1215">
        <v>-0.25</v>
      </c>
      <c r="E48" s="1215">
        <v>-0.375</v>
      </c>
      <c r="F48" s="1215">
        <v>-0.5</v>
      </c>
      <c r="G48" s="1215">
        <v>-0.75</v>
      </c>
      <c r="H48" s="1215" t="s">
        <v>14</v>
      </c>
      <c r="I48" s="1214" t="s">
        <v>14</v>
      </c>
      <c r="K48"/>
      <c r="L48"/>
      <c r="M48" s="1434"/>
    </row>
    <row r="49" spans="1:13" s="1057" customFormat="1" ht="15.75" thickBot="1">
      <c r="A49" s="1203"/>
      <c r="B49" s="1210" t="s">
        <v>320</v>
      </c>
      <c r="C49" s="1278">
        <v>-0.5</v>
      </c>
      <c r="D49" s="1277">
        <v>-0.875</v>
      </c>
      <c r="E49" s="1277">
        <v>-1.125</v>
      </c>
      <c r="F49" s="1277">
        <v>-1.5</v>
      </c>
      <c r="G49" s="1277" t="s">
        <v>14</v>
      </c>
      <c r="H49" s="1277" t="s">
        <v>14</v>
      </c>
      <c r="I49" s="1276" t="s">
        <v>14</v>
      </c>
      <c r="K49"/>
      <c r="L49"/>
      <c r="M49" s="1434"/>
    </row>
    <row r="50" spans="1:13" customFormat="1" ht="15.75" thickBot="1">
      <c r="A50" s="1512"/>
      <c r="M50" s="1489"/>
    </row>
    <row r="51" spans="1:13" customFormat="1" ht="15.75" thickBot="1">
      <c r="A51" s="1512"/>
      <c r="B51" s="1202" t="s">
        <v>763</v>
      </c>
      <c r="C51" s="1743" t="s">
        <v>329</v>
      </c>
      <c r="D51" s="1744"/>
      <c r="E51" s="1744"/>
      <c r="F51" s="1744"/>
      <c r="G51" s="1744"/>
      <c r="H51" s="1744"/>
      <c r="I51" s="1745"/>
      <c r="M51" s="1489"/>
    </row>
    <row r="52" spans="1:13" customFormat="1" ht="15.75" thickBot="1">
      <c r="A52" s="1512"/>
      <c r="B52" s="1511" t="s">
        <v>203</v>
      </c>
      <c r="C52" s="1222" t="s">
        <v>15</v>
      </c>
      <c r="D52" s="1425" t="s">
        <v>16</v>
      </c>
      <c r="E52" s="1425" t="s">
        <v>17</v>
      </c>
      <c r="F52" s="1425" t="s">
        <v>18</v>
      </c>
      <c r="G52" s="1425" t="s">
        <v>19</v>
      </c>
      <c r="H52" s="1425" t="s">
        <v>20</v>
      </c>
      <c r="I52" s="1440" t="s">
        <v>21</v>
      </c>
      <c r="M52" s="1489"/>
    </row>
    <row r="53" spans="1:13" s="1057" customFormat="1">
      <c r="A53" s="1203"/>
      <c r="B53" s="1426" t="s">
        <v>432</v>
      </c>
      <c r="C53" s="1213">
        <v>0</v>
      </c>
      <c r="D53" s="1212">
        <v>0</v>
      </c>
      <c r="E53" s="1212">
        <v>0</v>
      </c>
      <c r="F53" s="1212">
        <v>0</v>
      </c>
      <c r="G53" s="1212">
        <v>0</v>
      </c>
      <c r="H53" s="1212">
        <v>0</v>
      </c>
      <c r="I53" s="1211">
        <v>0</v>
      </c>
      <c r="K53"/>
      <c r="L53"/>
      <c r="M53" s="1061"/>
    </row>
    <row r="54" spans="1:13" s="1057" customFormat="1" ht="15" customHeight="1">
      <c r="A54" s="1203"/>
      <c r="B54" s="1427" t="s">
        <v>766</v>
      </c>
      <c r="C54" s="1294">
        <v>-0.25</v>
      </c>
      <c r="D54" s="1293">
        <v>-0.25</v>
      </c>
      <c r="E54" s="1293">
        <v>-0.25</v>
      </c>
      <c r="F54" s="1293">
        <v>-0.25</v>
      </c>
      <c r="G54" s="1293">
        <v>-0.25</v>
      </c>
      <c r="H54" s="1293">
        <v>-0.25</v>
      </c>
      <c r="I54" s="1292">
        <v>-0.5</v>
      </c>
      <c r="K54"/>
      <c r="L54"/>
      <c r="M54" s="1061"/>
    </row>
    <row r="55" spans="1:13" s="1057" customFormat="1" ht="15" customHeight="1">
      <c r="A55" s="1203"/>
      <c r="B55" s="1427" t="s">
        <v>89</v>
      </c>
      <c r="C55" s="1216">
        <v>-0.25</v>
      </c>
      <c r="D55" s="1215">
        <v>-0.25</v>
      </c>
      <c r="E55" s="1215">
        <v>-0.375</v>
      </c>
      <c r="F55" s="1215">
        <v>-0.5</v>
      </c>
      <c r="G55" s="1215">
        <v>-0.625</v>
      </c>
      <c r="H55" s="1215">
        <v>-0.75</v>
      </c>
      <c r="I55" s="1214">
        <v>-1</v>
      </c>
      <c r="K55"/>
      <c r="L55"/>
      <c r="M55" s="1061"/>
    </row>
    <row r="56" spans="1:13" s="1057" customFormat="1" ht="15" customHeight="1">
      <c r="A56" s="1203"/>
      <c r="B56" s="1427" t="s">
        <v>63</v>
      </c>
      <c r="C56" s="1216">
        <v>-0.25</v>
      </c>
      <c r="D56" s="1215">
        <v>-0.25</v>
      </c>
      <c r="E56" s="1215">
        <v>-0.25</v>
      </c>
      <c r="F56" s="1215">
        <v>-0.25</v>
      </c>
      <c r="G56" s="1215">
        <v>-0.25</v>
      </c>
      <c r="H56" s="1215">
        <v>-0.5</v>
      </c>
      <c r="I56" s="1214">
        <v>-0.5</v>
      </c>
      <c r="K56"/>
      <c r="L56"/>
      <c r="M56" s="1061"/>
    </row>
    <row r="57" spans="1:13" s="1057" customFormat="1" ht="15" customHeight="1">
      <c r="A57" s="1203"/>
      <c r="B57" s="1427" t="s">
        <v>433</v>
      </c>
      <c r="C57" s="1216">
        <v>-0.25</v>
      </c>
      <c r="D57" s="1215">
        <v>-0.25</v>
      </c>
      <c r="E57" s="1215">
        <v>-0.25</v>
      </c>
      <c r="F57" s="1215">
        <v>-0.25</v>
      </c>
      <c r="G57" s="1215">
        <v>-0.5</v>
      </c>
      <c r="H57" s="1215">
        <v>-0.5</v>
      </c>
      <c r="I57" s="1214" t="s">
        <v>14</v>
      </c>
      <c r="K57"/>
      <c r="L57"/>
      <c r="M57" s="1061"/>
    </row>
    <row r="58" spans="1:13" s="1057" customFormat="1" ht="15" customHeight="1">
      <c r="A58" s="1203"/>
      <c r="B58" s="1427" t="s">
        <v>381</v>
      </c>
      <c r="C58" s="1216">
        <v>-0.25</v>
      </c>
      <c r="D58" s="1215">
        <v>-0.25</v>
      </c>
      <c r="E58" s="1215">
        <v>-0.5</v>
      </c>
      <c r="F58" s="1215">
        <v>-0.5</v>
      </c>
      <c r="G58" s="1215">
        <v>-0.5</v>
      </c>
      <c r="H58" s="1215">
        <v>-0.5</v>
      </c>
      <c r="I58" s="1214">
        <v>-0.75</v>
      </c>
      <c r="K58"/>
      <c r="L58"/>
      <c r="M58" s="1061"/>
    </row>
    <row r="59" spans="1:13" s="1057" customFormat="1" ht="15" customHeight="1">
      <c r="A59" s="1203"/>
      <c r="B59" s="1427" t="s">
        <v>434</v>
      </c>
      <c r="C59" s="1216">
        <v>-0.25</v>
      </c>
      <c r="D59" s="1215">
        <v>-0.25</v>
      </c>
      <c r="E59" s="1215">
        <v>-0.25</v>
      </c>
      <c r="F59" s="1215">
        <v>-0.25</v>
      </c>
      <c r="G59" s="1215">
        <v>-0.25</v>
      </c>
      <c r="H59" s="1215">
        <v>-0.25</v>
      </c>
      <c r="I59" s="1214" t="s">
        <v>14</v>
      </c>
      <c r="K59"/>
      <c r="L59"/>
      <c r="M59" s="1061"/>
    </row>
    <row r="60" spans="1:13" s="1057" customFormat="1" ht="15" customHeight="1">
      <c r="A60" s="1203"/>
      <c r="B60" s="1427" t="s">
        <v>435</v>
      </c>
      <c r="C60" s="1216">
        <v>-0.5</v>
      </c>
      <c r="D60" s="1215">
        <v>-0.5</v>
      </c>
      <c r="E60" s="1215">
        <v>-0.5</v>
      </c>
      <c r="F60" s="1215">
        <v>-0.5</v>
      </c>
      <c r="G60" s="1215">
        <v>-0.75</v>
      </c>
      <c r="H60" s="1215">
        <v>-0.75</v>
      </c>
      <c r="I60" s="1214">
        <v>-1.25</v>
      </c>
      <c r="K60"/>
      <c r="L60"/>
      <c r="M60" s="1061"/>
    </row>
    <row r="61" spans="1:13" s="1057" customFormat="1" ht="15" customHeight="1">
      <c r="A61" s="1203"/>
      <c r="B61" s="1427" t="s">
        <v>436</v>
      </c>
      <c r="C61" s="1216">
        <v>-0.25</v>
      </c>
      <c r="D61" s="1215">
        <v>-0.25</v>
      </c>
      <c r="E61" s="1215">
        <v>-0.25</v>
      </c>
      <c r="F61" s="1215">
        <v>-0.25</v>
      </c>
      <c r="G61" s="1215">
        <v>-0.5</v>
      </c>
      <c r="H61" s="1215">
        <v>-0.75</v>
      </c>
      <c r="I61" s="1214">
        <v>-1</v>
      </c>
      <c r="K61"/>
      <c r="L61"/>
      <c r="M61" s="1061"/>
    </row>
    <row r="62" spans="1:13" s="1057" customFormat="1" ht="15.75" thickBot="1">
      <c r="A62" s="1203"/>
      <c r="B62" s="1210" t="s">
        <v>437</v>
      </c>
      <c r="C62" s="1278">
        <v>0</v>
      </c>
      <c r="D62" s="1277">
        <v>0</v>
      </c>
      <c r="E62" s="1277">
        <v>0</v>
      </c>
      <c r="F62" s="1277">
        <v>-0.25</v>
      </c>
      <c r="G62" s="1277">
        <v>-0.5</v>
      </c>
      <c r="H62" s="1277">
        <v>-0.75</v>
      </c>
      <c r="I62" s="1276" t="s">
        <v>14</v>
      </c>
      <c r="K62"/>
      <c r="L62"/>
      <c r="M62" s="1061"/>
    </row>
    <row r="63" spans="1:13" s="1057" customFormat="1">
      <c r="A63" s="1203"/>
      <c r="B63"/>
      <c r="C63"/>
      <c r="D63"/>
      <c r="E63"/>
      <c r="F63"/>
      <c r="G63"/>
      <c r="H63"/>
      <c r="I63"/>
      <c r="M63" s="1061"/>
    </row>
    <row r="64" spans="1:13" s="1057" customFormat="1">
      <c r="A64" s="1203"/>
      <c r="M64" s="1061"/>
    </row>
    <row r="65" spans="1:13" s="1057" customFormat="1">
      <c r="A65" s="1203"/>
      <c r="M65" s="1061"/>
    </row>
    <row r="66" spans="1:13" s="1057" customFormat="1">
      <c r="A66" s="1203"/>
      <c r="M66" s="1061"/>
    </row>
    <row r="67" spans="1:13" s="1057" customFormat="1">
      <c r="A67" s="1203"/>
      <c r="M67" s="1061"/>
    </row>
    <row r="68" spans="1:13" s="1057" customFormat="1">
      <c r="A68" s="1203"/>
      <c r="M68" s="1061"/>
    </row>
    <row r="69" spans="1:13" s="1057" customFormat="1">
      <c r="A69" s="1203"/>
      <c r="M69" s="1061"/>
    </row>
    <row r="70" spans="1:13" s="1057" customFormat="1">
      <c r="A70" s="1203"/>
      <c r="M70" s="1061"/>
    </row>
    <row r="71" spans="1:13" s="1057" customFormat="1">
      <c r="A71" s="1203"/>
      <c r="M71" s="1061"/>
    </row>
    <row r="72" spans="1:13" s="1057" customFormat="1">
      <c r="A72" s="1203"/>
      <c r="M72" s="1061"/>
    </row>
    <row r="73" spans="1:13" s="1057" customFormat="1">
      <c r="A73" s="1203"/>
      <c r="M73" s="1061"/>
    </row>
    <row r="74" spans="1:13" s="1057" customFormat="1">
      <c r="A74" s="1203"/>
      <c r="M74" s="1061"/>
    </row>
    <row r="75" spans="1:13" s="1057" customFormat="1">
      <c r="A75" s="1203"/>
      <c r="M75" s="1061"/>
    </row>
    <row r="76" spans="1:13" s="1057" customFormat="1">
      <c r="A76" s="1203"/>
      <c r="M76" s="1061"/>
    </row>
    <row r="77" spans="1:13" s="1057" customFormat="1">
      <c r="A77" s="1203"/>
      <c r="M77" s="1061"/>
    </row>
    <row r="78" spans="1:13" s="1057" customFormat="1">
      <c r="A78" s="1203"/>
      <c r="M78" s="1061"/>
    </row>
    <row r="79" spans="1:13" s="1057" customFormat="1">
      <c r="A79" s="1203"/>
      <c r="M79" s="1061"/>
    </row>
    <row r="80" spans="1:13" s="1057" customFormat="1">
      <c r="A80" s="1203"/>
      <c r="M80" s="1061"/>
    </row>
    <row r="81" spans="1:13" s="1057" customFormat="1">
      <c r="A81" s="1203"/>
      <c r="M81" s="1061"/>
    </row>
    <row r="82" spans="1:13" s="1057" customFormat="1">
      <c r="A82" s="1203"/>
      <c r="M82" s="1061"/>
    </row>
    <row r="83" spans="1:13" s="1057" customFormat="1">
      <c r="A83" s="1203"/>
      <c r="M83" s="1061"/>
    </row>
    <row r="84" spans="1:13" s="1057" customFormat="1">
      <c r="A84" s="1203"/>
      <c r="M84" s="1061"/>
    </row>
    <row r="85" spans="1:13" s="1057" customFormat="1">
      <c r="A85" s="1203"/>
      <c r="M85" s="1061"/>
    </row>
    <row r="86" spans="1:13" s="1057" customFormat="1">
      <c r="A86" s="1203"/>
      <c r="M86" s="1061"/>
    </row>
    <row r="87" spans="1:13" s="1057" customFormat="1">
      <c r="A87" s="1203"/>
      <c r="G87" s="1202"/>
      <c r="H87" s="1201"/>
      <c r="M87" s="1061"/>
    </row>
    <row r="88" spans="1:13" s="1057" customFormat="1">
      <c r="A88" s="1203"/>
      <c r="G88" s="1202"/>
      <c r="H88" s="1201"/>
      <c r="M88" s="1061"/>
    </row>
    <row r="89" spans="1:13" s="1057" customFormat="1">
      <c r="A89" s="1203"/>
      <c r="G89" s="1202"/>
      <c r="H89" s="1201"/>
      <c r="M89" s="1061"/>
    </row>
    <row r="90" spans="1:13" s="1057" customFormat="1">
      <c r="A90" s="1203"/>
      <c r="G90" s="1202"/>
      <c r="H90" s="1201"/>
      <c r="M90" s="1061"/>
    </row>
    <row r="91" spans="1:13" s="1057" customFormat="1">
      <c r="A91" s="1203"/>
      <c r="G91" s="1202"/>
      <c r="H91" s="1201"/>
      <c r="M91" s="1061"/>
    </row>
    <row r="92" spans="1:13" s="1057" customFormat="1">
      <c r="A92" s="1203"/>
      <c r="M92" s="1061"/>
    </row>
    <row r="93" spans="1:13" s="1057" customFormat="1">
      <c r="A93" s="1203"/>
      <c r="M93" s="1061"/>
    </row>
    <row r="94" spans="1:13" s="1057" customFormat="1" ht="15.75" thickBot="1">
      <c r="A94" s="1203"/>
      <c r="M94" s="1061"/>
    </row>
    <row r="95" spans="1:13" s="1057" customFormat="1" ht="15" customHeight="1">
      <c r="A95" s="1066"/>
      <c r="B95" s="1816" t="s">
        <v>192</v>
      </c>
      <c r="C95" s="1816"/>
      <c r="D95" s="1816"/>
      <c r="E95" s="1816"/>
      <c r="F95" s="1816"/>
      <c r="G95" s="1816"/>
      <c r="H95" s="1816"/>
      <c r="I95" s="1816"/>
      <c r="J95" s="1816"/>
      <c r="K95" s="1816"/>
      <c r="L95" s="1816"/>
      <c r="M95" s="1849"/>
    </row>
    <row r="96" spans="1:13" s="1057" customFormat="1">
      <c r="A96" s="1063"/>
      <c r="B96" s="1817"/>
      <c r="C96" s="1817"/>
      <c r="D96" s="1817"/>
      <c r="E96" s="1817"/>
      <c r="F96" s="1817"/>
      <c r="G96" s="1817"/>
      <c r="H96" s="1817"/>
      <c r="I96" s="1817"/>
      <c r="J96" s="1817"/>
      <c r="K96" s="1817"/>
      <c r="L96" s="1817"/>
      <c r="M96" s="1850"/>
    </row>
    <row r="97" spans="1:17" s="1057" customFormat="1">
      <c r="A97" s="1063"/>
      <c r="B97" s="1817"/>
      <c r="C97" s="1817"/>
      <c r="D97" s="1817"/>
      <c r="E97" s="1817"/>
      <c r="F97" s="1817"/>
      <c r="G97" s="1817"/>
      <c r="H97" s="1817"/>
      <c r="I97" s="1817"/>
      <c r="J97" s="1817"/>
      <c r="K97" s="1817"/>
      <c r="L97" s="1817"/>
      <c r="M97" s="1850"/>
      <c r="O97" s="1056"/>
      <c r="P97" s="1056"/>
      <c r="Q97" s="1056"/>
    </row>
    <row r="98" spans="1:17" s="1057" customFormat="1" ht="15.75" thickBot="1">
      <c r="A98" s="1060"/>
      <c r="B98" s="1818"/>
      <c r="C98" s="1818"/>
      <c r="D98" s="1818"/>
      <c r="E98" s="1818"/>
      <c r="F98" s="1818"/>
      <c r="G98" s="1818"/>
      <c r="H98" s="1818"/>
      <c r="I98" s="1818"/>
      <c r="J98" s="1818"/>
      <c r="K98" s="1818"/>
      <c r="L98" s="1818"/>
      <c r="M98" s="1851"/>
      <c r="O98" s="1056"/>
      <c r="P98" s="1056"/>
      <c r="Q98" s="1056"/>
    </row>
  </sheetData>
  <mergeCells count="27"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  <mergeCell ref="K29:L29"/>
    <mergeCell ref="K28:L28"/>
    <mergeCell ref="K27:L27"/>
    <mergeCell ref="K26:L26"/>
    <mergeCell ref="G28:H29"/>
    <mergeCell ref="I29:J29"/>
    <mergeCell ref="I24:J24"/>
    <mergeCell ref="I25:J25"/>
    <mergeCell ref="I26:J26"/>
    <mergeCell ref="I27:J27"/>
    <mergeCell ref="I28:J28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E65D05E3-A8D8-4FA4-B58B-211E89FB486F}">
          <x14:formula1>
            <xm:f>margins!$R$158:$R$161</xm:f>
          </x14:formula1>
          <xm:sqref>P18</xm:sqref>
        </x14:dataValidation>
        <x14:dataValidation type="list" allowBlank="1" showInputMessage="1" showErrorMessage="1" xr:uid="{7E1A1DF3-531A-4349-A512-CE276BD66782}">
          <x14:formula1>
            <xm:f>margins!$R$163:$R$164</xm:f>
          </x14:formula1>
          <xm:sqref>P19</xm:sqref>
        </x14:dataValidation>
        <x14:dataValidation type="list" allowBlank="1" showInputMessage="1" showErrorMessage="1" xr:uid="{83BC16F1-78EF-40F2-91ED-5DD239F3BF09}">
          <x14:formula1>
            <xm:f>margins!$R$172:$R$173</xm:f>
          </x14:formula1>
          <xm:sqref>P21</xm:sqref>
        </x14:dataValidation>
        <x14:dataValidation type="list" allowBlank="1" showInputMessage="1" showErrorMessage="1" xr:uid="{7916A023-1675-4A75-9194-ED097DDFAFEE}">
          <x14:formula1>
            <xm:f>margins!$R$169:$R$170</xm:f>
          </x14:formula1>
          <xm:sqref>P22</xm:sqref>
        </x14:dataValidation>
        <x14:dataValidation type="list" allowBlank="1" showInputMessage="1" showErrorMessage="1" xr:uid="{7D617FC2-97E7-490E-AEE1-12EAD79E7A18}">
          <x14:formula1>
            <xm:f>margins!$R$175:$R$176</xm:f>
          </x14:formula1>
          <xm:sqref>P23</xm:sqref>
        </x14:dataValidation>
        <x14:dataValidation type="list" allowBlank="1" showInputMessage="1" showErrorMessage="1" xr:uid="{7BB8F067-AAD5-43A0-B9A2-7236E067D162}">
          <x14:formula1>
            <xm:f>margins!$R$178:$R$180</xm:f>
          </x14:formula1>
          <xm:sqref>P24</xm:sqref>
        </x14:dataValidation>
        <x14:dataValidation type="list" allowBlank="1" showInputMessage="1" showErrorMessage="1" xr:uid="{6909E747-4A9F-4EBF-9CB6-F37137AB4E99}">
          <x14:formula1>
            <xm:f>margins!$C$119:$C$121</xm:f>
          </x14:formula1>
          <xm:sqref>P25</xm:sqref>
        </x14:dataValidation>
        <x14:dataValidation type="list" allowBlank="1" showInputMessage="1" showErrorMessage="1" xr:uid="{7C5ABBE4-C727-4832-BBBE-33A0C4B7F891}">
          <x14:formula1>
            <xm:f>margins!$R$166:$R$167</xm:f>
          </x14:formula1>
          <xm:sqref>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topLeftCell="A7" zoomScaleNormal="100" zoomScaleSheetLayoutView="90" workbookViewId="0">
      <selection activeCell="S58" sqref="S58"/>
    </sheetView>
  </sheetViews>
  <sheetFormatPr defaultRowHeight="15"/>
  <cols>
    <col min="1" max="1" width="3.5703125" style="1058" customWidth="1"/>
    <col min="2" max="2" width="25.7109375" style="1057" customWidth="1"/>
    <col min="3" max="3" width="15.28515625" style="1057" customWidth="1"/>
    <col min="4" max="4" width="13" style="1057" customWidth="1"/>
    <col min="5" max="5" width="12.7109375" style="1057" customWidth="1"/>
    <col min="6" max="9" width="13.7109375" style="1057" customWidth="1"/>
    <col min="10" max="10" width="13.5703125" style="1057" customWidth="1"/>
    <col min="11" max="13" width="13.7109375" style="1057" customWidth="1"/>
    <col min="14" max="14" width="2" style="1057" customWidth="1"/>
    <col min="15" max="15" width="9.140625" style="1056"/>
    <col min="16" max="18" width="20" style="1056" customWidth="1"/>
    <col min="19" max="16384" width="9.140625" style="1056"/>
  </cols>
  <sheetData>
    <row r="1" spans="1:18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268"/>
    </row>
    <row r="2" spans="1:18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755" t="s">
        <v>361</v>
      </c>
      <c r="K2" s="1755"/>
      <c r="L2" s="1756">
        <f ca="1">NOW()</f>
        <v>45978.399704166666</v>
      </c>
      <c r="M2" s="1756"/>
      <c r="N2" s="1200"/>
    </row>
    <row r="3" spans="1:18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5" t="s">
        <v>648</v>
      </c>
      <c r="L3" s="1755"/>
      <c r="M3" s="1755"/>
      <c r="N3" s="1200"/>
    </row>
    <row r="4" spans="1:18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755"/>
      <c r="M4" s="1755"/>
      <c r="N4" s="1200"/>
    </row>
    <row r="5" spans="1:18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062"/>
      <c r="L5" s="1755" t="s">
        <v>182</v>
      </c>
      <c r="M5" s="1755"/>
      <c r="N5" s="1200"/>
    </row>
    <row r="6" spans="1:18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200"/>
    </row>
    <row r="7" spans="1:18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200"/>
    </row>
    <row r="8" spans="1:18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267"/>
    </row>
    <row r="9" spans="1:18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M9" s="1227"/>
      <c r="N9" s="1266"/>
    </row>
    <row r="10" spans="1:18" s="1057" customFormat="1" ht="14.25" customHeight="1" thickBot="1">
      <c r="A10" s="1757" t="s">
        <v>623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8"/>
      <c r="N10" s="1759"/>
      <c r="P10" s="1590" t="s">
        <v>206</v>
      </c>
      <c r="Q10" s="1591"/>
      <c r="R10" s="1592">
        <v>45978.399699074071</v>
      </c>
    </row>
    <row r="11" spans="1:18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1"/>
      <c r="N11" s="1762"/>
      <c r="P11" s="1593"/>
      <c r="Q11" s="471"/>
      <c r="R11" s="1594"/>
    </row>
    <row r="12" spans="1:18" s="1057" customFormat="1" ht="15.75" thickBot="1">
      <c r="A12" s="1265"/>
      <c r="B12" s="1286"/>
      <c r="C12" s="1743" t="s">
        <v>476</v>
      </c>
      <c r="D12" s="1744"/>
      <c r="E12" s="1744"/>
      <c r="F12" s="1264"/>
      <c r="G12" s="1263"/>
      <c r="H12" s="1263"/>
      <c r="I12" s="1263"/>
      <c r="J12" s="1263"/>
      <c r="K12" s="1263"/>
      <c r="L12" s="1101"/>
      <c r="M12" s="1262"/>
      <c r="N12" s="1261"/>
      <c r="P12" s="1433" t="s">
        <v>207</v>
      </c>
      <c r="Q12" s="1433" t="s">
        <v>208</v>
      </c>
      <c r="R12" s="1595" t="s">
        <v>209</v>
      </c>
    </row>
    <row r="13" spans="1:18" s="1057" customFormat="1" ht="15.75" thickBot="1">
      <c r="A13" s="1250"/>
      <c r="B13" s="1285" t="s">
        <v>226</v>
      </c>
      <c r="C13" s="1430" t="s">
        <v>13</v>
      </c>
      <c r="D13" s="1430" t="s">
        <v>88</v>
      </c>
      <c r="E13" s="1285" t="s">
        <v>647</v>
      </c>
      <c r="G13" s="1202" t="s">
        <v>646</v>
      </c>
      <c r="H13" s="1201"/>
      <c r="I13" s="1201"/>
      <c r="K13" s="1202" t="s">
        <v>645</v>
      </c>
      <c r="L13" s="1"/>
      <c r="N13" s="1200"/>
      <c r="P13" s="1593"/>
      <c r="Q13" s="471"/>
      <c r="R13" s="1594"/>
    </row>
    <row r="14" spans="1:18" s="1057" customFormat="1">
      <c r="A14" s="1250"/>
      <c r="B14" s="1284">
        <f>margins!A5</f>
        <v>6</v>
      </c>
      <c r="C14" s="1260">
        <v>98.756999999999991</v>
      </c>
      <c r="D14" s="1259">
        <v>98.656999999999996</v>
      </c>
      <c r="E14" s="1323">
        <v>98.656999999999996</v>
      </c>
      <c r="F14" s="1227"/>
      <c r="G14" s="1725" t="s">
        <v>97</v>
      </c>
      <c r="H14" s="1726"/>
      <c r="I14" s="1433" t="s">
        <v>6</v>
      </c>
      <c r="K14" s="1725" t="s">
        <v>644</v>
      </c>
      <c r="L14" s="1763"/>
      <c r="M14" s="1256">
        <v>0</v>
      </c>
      <c r="N14" s="1200"/>
      <c r="P14" s="1596" t="s">
        <v>210</v>
      </c>
      <c r="Q14" s="484" t="s">
        <v>93</v>
      </c>
      <c r="R14" s="1597"/>
    </row>
    <row r="15" spans="1:18" s="1057" customFormat="1" ht="15.75" thickBot="1">
      <c r="A15" s="1250"/>
      <c r="B15" s="1284">
        <f>margins!A6</f>
        <v>6.125</v>
      </c>
      <c r="C15" s="1241">
        <v>99.663249999999991</v>
      </c>
      <c r="D15" s="1240">
        <v>99.563249999999996</v>
      </c>
      <c r="E15" s="1239">
        <v>99.563249999999996</v>
      </c>
      <c r="F15" s="1227"/>
      <c r="G15" s="1723" t="s">
        <v>99</v>
      </c>
      <c r="H15" s="1724"/>
      <c r="I15" s="1255">
        <v>102</v>
      </c>
      <c r="K15" s="1753" t="s">
        <v>643</v>
      </c>
      <c r="L15" s="1754"/>
      <c r="M15" s="1258">
        <v>-0.375</v>
      </c>
      <c r="N15" s="1200"/>
      <c r="P15" s="1598" t="s">
        <v>211</v>
      </c>
      <c r="Q15" s="485">
        <v>6.5</v>
      </c>
      <c r="R15" s="1599">
        <f>IF(Q14="7/6 Arm",VLOOKUP(Q15,$B$14:$E$42,2,FALSE),IF(Q14="10/6 Arm",VLOOKUP(Q15,$B$14:$E$42,3,FALSE),VLOOKUP(Q15,$B$14:$E$43,4,FALSE)))</f>
        <v>102.04762499999998</v>
      </c>
    </row>
    <row r="16" spans="1:18" s="1057" customFormat="1">
      <c r="A16" s="1250"/>
      <c r="B16" s="1284">
        <f>margins!A7</f>
        <v>6.25</v>
      </c>
      <c r="C16" s="1241">
        <v>100.56949999999999</v>
      </c>
      <c r="D16" s="1240">
        <v>100.4695</v>
      </c>
      <c r="E16" s="1239">
        <v>100.4695</v>
      </c>
      <c r="F16" s="1227"/>
      <c r="G16" s="1723" t="s">
        <v>100</v>
      </c>
      <c r="H16" s="1724"/>
      <c r="I16" s="1255">
        <v>102</v>
      </c>
      <c r="N16" s="1200"/>
      <c r="P16" s="1598" t="s">
        <v>386</v>
      </c>
      <c r="Q16" s="485" t="s">
        <v>21</v>
      </c>
      <c r="R16" s="1600"/>
    </row>
    <row r="17" spans="1:18" s="1057" customFormat="1" ht="15.75" thickBot="1">
      <c r="A17" s="1250"/>
      <c r="B17" s="1284">
        <f>margins!A8</f>
        <v>6.375</v>
      </c>
      <c r="C17" s="1241">
        <v>101.47574999999999</v>
      </c>
      <c r="D17" s="1240">
        <v>101.37575</v>
      </c>
      <c r="E17" s="1239">
        <v>101.37575</v>
      </c>
      <c r="F17" s="1227"/>
      <c r="G17" s="1723" t="s">
        <v>7</v>
      </c>
      <c r="H17" s="1724"/>
      <c r="I17" s="1255">
        <v>102</v>
      </c>
      <c r="K17" s="1202" t="s">
        <v>641</v>
      </c>
      <c r="L17" s="1432"/>
      <c r="M17" s="1432"/>
      <c r="N17" s="1200"/>
      <c r="P17" s="1598" t="s">
        <v>212</v>
      </c>
      <c r="Q17" s="485" t="s">
        <v>116</v>
      </c>
      <c r="R17" s="1600">
        <f>IFERROR(INDEX($F$51:$M$58,MATCH(Q17,$C$51:$C$58,0),MATCH(Q16,$F$50:$M$50,0),1),0)</f>
        <v>-2.5</v>
      </c>
    </row>
    <row r="18" spans="1:18" s="1057" customFormat="1">
      <c r="A18" s="1250"/>
      <c r="B18" s="1284">
        <f>margins!A9</f>
        <v>6.5</v>
      </c>
      <c r="C18" s="1241">
        <v>102.14762499999998</v>
      </c>
      <c r="D18" s="1240">
        <v>102.04762499999998</v>
      </c>
      <c r="E18" s="1239">
        <v>102.04762499999998</v>
      </c>
      <c r="F18" s="1227"/>
      <c r="G18" s="1723" t="s">
        <v>9</v>
      </c>
      <c r="H18" s="1724"/>
      <c r="I18" s="1255">
        <v>101.5</v>
      </c>
      <c r="K18" s="1780" t="s">
        <v>686</v>
      </c>
      <c r="L18" s="1781"/>
      <c r="M18" s="1782"/>
      <c r="N18" s="1200"/>
      <c r="P18" s="1598" t="s">
        <v>114</v>
      </c>
      <c r="Q18" s="485" t="s">
        <v>733</v>
      </c>
      <c r="R18" s="1600">
        <f>IFERROR(INDEX($F$59:$M$63,MATCH(Q18,$C$59:$C$63,0),MATCH(Q16,$F$50:$M$50,0),1),0)</f>
        <v>0.625</v>
      </c>
    </row>
    <row r="19" spans="1:18" s="1057" customFormat="1">
      <c r="A19" s="1250"/>
      <c r="B19" s="1284">
        <f>margins!A10</f>
        <v>6.625</v>
      </c>
      <c r="C19" s="1241">
        <v>102.81949999999999</v>
      </c>
      <c r="D19" s="1240">
        <v>102.7195</v>
      </c>
      <c r="E19" s="1239">
        <v>102.7195</v>
      </c>
      <c r="F19" s="1227"/>
      <c r="G19" s="1723" t="s">
        <v>11</v>
      </c>
      <c r="H19" s="1724"/>
      <c r="I19" s="1255">
        <v>101</v>
      </c>
      <c r="K19" s="1783"/>
      <c r="L19" s="1784"/>
      <c r="M19" s="1785"/>
      <c r="N19" s="1200"/>
      <c r="P19" s="1598" t="s">
        <v>72</v>
      </c>
      <c r="Q19" s="485" t="s">
        <v>203</v>
      </c>
      <c r="R19" s="1600">
        <f t="shared" ref="R19:R26" si="0">IFERROR(INDEX($F$68:$M$104,MATCH(Q19,$C$68:$C$104,0),MATCH($Q$16,$F$67:$M$67,0),1),0)</f>
        <v>0</v>
      </c>
    </row>
    <row r="20" spans="1:18" s="1057" customFormat="1" ht="15.75" thickBot="1">
      <c r="A20" s="1250"/>
      <c r="B20" s="1284">
        <f>margins!A11</f>
        <v>6.75</v>
      </c>
      <c r="C20" s="1241">
        <v>103.49137499999999</v>
      </c>
      <c r="D20" s="1240">
        <v>103.391375</v>
      </c>
      <c r="E20" s="1239">
        <v>103.391375</v>
      </c>
      <c r="F20" s="1227"/>
      <c r="G20" s="1786" t="s">
        <v>101</v>
      </c>
      <c r="H20" s="1787"/>
      <c r="I20" s="1254">
        <v>99</v>
      </c>
      <c r="K20" s="1783" t="s">
        <v>475</v>
      </c>
      <c r="L20" s="1784"/>
      <c r="M20" s="1785"/>
      <c r="N20" s="1200"/>
      <c r="P20" s="1598" t="s">
        <v>213</v>
      </c>
      <c r="Q20" s="485" t="s">
        <v>203</v>
      </c>
      <c r="R20" s="1600">
        <f t="shared" si="0"/>
        <v>0</v>
      </c>
    </row>
    <row r="21" spans="1:18" s="1057" customFormat="1">
      <c r="A21" s="1250"/>
      <c r="B21" s="1284">
        <f>margins!A12</f>
        <v>6.875</v>
      </c>
      <c r="C21" s="1241">
        <v>104.16324999999999</v>
      </c>
      <c r="D21" s="1240">
        <v>104.06325</v>
      </c>
      <c r="E21" s="1239">
        <v>104.06325</v>
      </c>
      <c r="F21" s="1227"/>
      <c r="G21" s="1725" t="s">
        <v>602</v>
      </c>
      <c r="H21" s="1726"/>
      <c r="I21" s="1433" t="s">
        <v>6</v>
      </c>
      <c r="K21" s="1783"/>
      <c r="L21" s="1784"/>
      <c r="M21" s="1785"/>
      <c r="N21" s="1200"/>
      <c r="P21" s="1598" t="s">
        <v>47</v>
      </c>
      <c r="Q21" s="485" t="s">
        <v>634</v>
      </c>
      <c r="R21" s="1600">
        <f t="shared" si="0"/>
        <v>-2</v>
      </c>
    </row>
    <row r="22" spans="1:18" s="1057" customFormat="1" ht="15.75" thickBot="1">
      <c r="A22" s="1250"/>
      <c r="B22" s="1284">
        <f>margins!A13</f>
        <v>7</v>
      </c>
      <c r="C22" s="1241">
        <v>104.53824999999999</v>
      </c>
      <c r="D22" s="1240">
        <v>104.43824999999998</v>
      </c>
      <c r="E22" s="1239">
        <v>104.43824999999998</v>
      </c>
      <c r="F22" s="1227"/>
      <c r="G22" s="1770" t="s">
        <v>120</v>
      </c>
      <c r="H22" s="1771"/>
      <c r="I22" s="1255">
        <v>99</v>
      </c>
      <c r="K22" s="1764" t="s">
        <v>684</v>
      </c>
      <c r="L22" s="1765"/>
      <c r="M22" s="1766"/>
      <c r="N22" s="1200"/>
      <c r="P22" s="1598" t="s">
        <v>56</v>
      </c>
      <c r="Q22" s="485" t="s">
        <v>203</v>
      </c>
      <c r="R22" s="1600">
        <f t="shared" si="0"/>
        <v>0</v>
      </c>
    </row>
    <row r="23" spans="1:18" s="1057" customFormat="1">
      <c r="A23" s="1203"/>
      <c r="B23" s="1284">
        <f>margins!A14</f>
        <v>7.125</v>
      </c>
      <c r="C23" s="1241">
        <v>104.91325000000001</v>
      </c>
      <c r="D23" s="1240">
        <v>104.81325</v>
      </c>
      <c r="E23" s="1239">
        <v>104.81325</v>
      </c>
      <c r="F23" s="1227"/>
      <c r="G23" s="1725" t="s">
        <v>310</v>
      </c>
      <c r="H23" s="1726"/>
      <c r="I23" s="1433" t="s">
        <v>6</v>
      </c>
      <c r="K23" s="1764"/>
      <c r="L23" s="1765"/>
      <c r="M23" s="1766"/>
      <c r="N23" s="1200"/>
      <c r="P23" s="1598" t="s">
        <v>62</v>
      </c>
      <c r="Q23" s="485" t="s">
        <v>203</v>
      </c>
      <c r="R23" s="1600">
        <f t="shared" si="0"/>
        <v>0</v>
      </c>
    </row>
    <row r="24" spans="1:18" s="1057" customFormat="1" ht="14.25" customHeight="1" thickBot="1">
      <c r="A24" s="1203"/>
      <c r="B24" s="1284">
        <f>margins!A15</f>
        <v>7.25</v>
      </c>
      <c r="C24" s="1241">
        <v>105.28824999999999</v>
      </c>
      <c r="D24" s="1240">
        <v>105.18825</v>
      </c>
      <c r="E24" s="1239">
        <v>105.18825</v>
      </c>
      <c r="F24" s="1227"/>
      <c r="G24" s="1770" t="s">
        <v>688</v>
      </c>
      <c r="H24" s="1771"/>
      <c r="I24" s="1255">
        <v>100.5</v>
      </c>
      <c r="K24" s="1764" t="s">
        <v>685</v>
      </c>
      <c r="L24" s="1765"/>
      <c r="M24" s="1766"/>
      <c r="N24" s="1200"/>
      <c r="P24" s="1598" t="s">
        <v>214</v>
      </c>
      <c r="Q24" s="485" t="s">
        <v>203</v>
      </c>
      <c r="R24" s="1600">
        <f t="shared" si="0"/>
        <v>0</v>
      </c>
    </row>
    <row r="25" spans="1:18" s="1057" customFormat="1" ht="15.75" thickBot="1">
      <c r="A25" s="1203"/>
      <c r="B25" s="1284">
        <f>margins!A16</f>
        <v>7.375</v>
      </c>
      <c r="C25" s="1241">
        <v>105.66325000000001</v>
      </c>
      <c r="D25" s="1240">
        <v>105.56325</v>
      </c>
      <c r="E25" s="1239">
        <v>105.56325</v>
      </c>
      <c r="F25" s="1227"/>
      <c r="G25" s="1725" t="s">
        <v>329</v>
      </c>
      <c r="H25" s="1726"/>
      <c r="I25" s="1433" t="s">
        <v>6</v>
      </c>
      <c r="K25" s="1767"/>
      <c r="L25" s="1768"/>
      <c r="M25" s="1769"/>
      <c r="N25" s="1200"/>
      <c r="P25" s="1598" t="s">
        <v>141</v>
      </c>
      <c r="Q25" s="485" t="s">
        <v>203</v>
      </c>
      <c r="R25" s="1600">
        <f t="shared" si="0"/>
        <v>0</v>
      </c>
    </row>
    <row r="26" spans="1:18" s="1057" customFormat="1" ht="14.25" customHeight="1" thickBot="1">
      <c r="A26" s="1203"/>
      <c r="B26" s="1284">
        <f>margins!A17</f>
        <v>7.5</v>
      </c>
      <c r="C26" s="1241">
        <v>106.03824999999999</v>
      </c>
      <c r="D26" s="1240">
        <v>105.93825</v>
      </c>
      <c r="E26" s="1239">
        <v>105.93825</v>
      </c>
      <c r="F26" s="1227"/>
      <c r="G26" s="1770" t="s">
        <v>727</v>
      </c>
      <c r="H26" s="1771"/>
      <c r="I26" s="1255">
        <v>101</v>
      </c>
      <c r="N26" s="1200"/>
      <c r="P26" s="1598" t="s">
        <v>215</v>
      </c>
      <c r="Q26" s="485" t="s">
        <v>203</v>
      </c>
      <c r="R26" s="1600">
        <f t="shared" si="0"/>
        <v>0</v>
      </c>
    </row>
    <row r="27" spans="1:18" s="1057" customFormat="1">
      <c r="A27" s="1203"/>
      <c r="B27" s="1284">
        <f>margins!A18</f>
        <v>7.625</v>
      </c>
      <c r="C27" s="1241">
        <v>106.41325000000001</v>
      </c>
      <c r="D27" s="1240">
        <v>106.31325</v>
      </c>
      <c r="E27" s="1239">
        <v>106.31325</v>
      </c>
      <c r="F27" s="1227"/>
      <c r="N27" s="1200"/>
      <c r="P27" s="1598" t="s">
        <v>715</v>
      </c>
      <c r="Q27" s="485" t="s">
        <v>99</v>
      </c>
      <c r="R27" s="1600">
        <f>IFERROR(INDEX($F$95:$M$100,MATCH(Q27,$C$95:$C$100,0),MATCH($Q$16,$F$67:$M$67,0),1),0)</f>
        <v>0.625</v>
      </c>
    </row>
    <row r="28" spans="1:18" s="1057" customFormat="1" ht="14.25" customHeight="1" thickBot="1">
      <c r="A28" s="1203"/>
      <c r="B28" s="1284">
        <f>margins!A19</f>
        <v>7.75</v>
      </c>
      <c r="C28" s="1241">
        <v>106.78824999999999</v>
      </c>
      <c r="D28" s="1240">
        <v>106.68825</v>
      </c>
      <c r="E28" s="1239">
        <v>106.68825</v>
      </c>
      <c r="F28" s="1227"/>
      <c r="G28" s="1202" t="s">
        <v>642</v>
      </c>
      <c r="I28" s="1062"/>
      <c r="N28" s="1200"/>
      <c r="P28" s="1598" t="s">
        <v>69</v>
      </c>
      <c r="Q28" s="485" t="s">
        <v>203</v>
      </c>
      <c r="R28" s="1600">
        <f>IFERROR(INDEX($F$68:$M$104,MATCH(Q28,$C$68:$C$104,0),MATCH($Q$16,$F$67:$M$67,0),1),0)</f>
        <v>0</v>
      </c>
    </row>
    <row r="29" spans="1:18" s="1057" customFormat="1">
      <c r="A29" s="1203"/>
      <c r="B29" s="1284">
        <f>margins!A20</f>
        <v>7.875</v>
      </c>
      <c r="C29" s="1241">
        <v>107.16325000000001</v>
      </c>
      <c r="D29" s="1240">
        <v>107.06325</v>
      </c>
      <c r="E29" s="1239">
        <v>107.06325</v>
      </c>
      <c r="F29" s="1227"/>
      <c r="G29" s="1248" t="s">
        <v>267</v>
      </c>
      <c r="H29" s="1731" t="s">
        <v>640</v>
      </c>
      <c r="I29" s="1732"/>
      <c r="N29" s="1200"/>
      <c r="P29" s="1598" t="s">
        <v>172</v>
      </c>
      <c r="Q29" s="485" t="s">
        <v>203</v>
      </c>
      <c r="R29" s="1600">
        <f>IFERROR(INDEX($F$68:$M$104,MATCH(Q29,$C$68:$C$104,0),MATCH($Q$16,$F$67:$M$67,0),1),0)</f>
        <v>0</v>
      </c>
    </row>
    <row r="30" spans="1:18" s="1057" customFormat="1">
      <c r="A30" s="1203"/>
      <c r="B30" s="1284">
        <f>margins!A21</f>
        <v>8</v>
      </c>
      <c r="C30" s="1241">
        <v>107.53824999999999</v>
      </c>
      <c r="D30" s="1240">
        <v>107.43825</v>
      </c>
      <c r="E30" s="1239">
        <v>107.43825</v>
      </c>
      <c r="F30" s="1227"/>
      <c r="G30" s="1247" t="s">
        <v>223</v>
      </c>
      <c r="H30" s="1735">
        <v>4.5</v>
      </c>
      <c r="I30" s="1736"/>
      <c r="M30" s="1225"/>
      <c r="N30" s="1200"/>
      <c r="P30" s="1598" t="s">
        <v>503</v>
      </c>
      <c r="Q30" s="485" t="s">
        <v>203</v>
      </c>
      <c r="R30" s="1600">
        <f>IFERROR(INDEX($F$68:$M$104,MATCH(Q30,$C$68:$C$104,0),MATCH($Q$16,$F$67:$M$67,0),1),0)</f>
        <v>0</v>
      </c>
    </row>
    <row r="31" spans="1:18" s="1057" customFormat="1">
      <c r="A31" s="1203"/>
      <c r="B31" s="1284">
        <f>margins!A22</f>
        <v>8.125</v>
      </c>
      <c r="C31" s="1241">
        <v>107.91325000000001</v>
      </c>
      <c r="D31" s="1240">
        <v>107.81325</v>
      </c>
      <c r="E31" s="1239">
        <v>107.81325</v>
      </c>
      <c r="F31" s="1227"/>
      <c r="G31" s="1247" t="s">
        <v>639</v>
      </c>
      <c r="H31" s="1735" t="s">
        <v>638</v>
      </c>
      <c r="I31" s="1736"/>
      <c r="L31" s="1201"/>
      <c r="M31" s="1201"/>
      <c r="N31" s="1200"/>
      <c r="P31" s="1598" t="s">
        <v>509</v>
      </c>
      <c r="Q31" s="485" t="s">
        <v>203</v>
      </c>
      <c r="R31" s="1600">
        <f>IFERROR(INDEX($F$68:$M$104,MATCH(Q31,$C$68:$C$104,0),MATCH($Q$16,$F$67:$M$67,0),1),0)</f>
        <v>0</v>
      </c>
    </row>
    <row r="32" spans="1:18" s="1057" customFormat="1">
      <c r="A32" s="1203"/>
      <c r="B32" s="1284">
        <f>margins!A23</f>
        <v>8.25</v>
      </c>
      <c r="C32" s="1241">
        <v>108.28825000000001</v>
      </c>
      <c r="D32" s="1240">
        <v>108.18825</v>
      </c>
      <c r="E32" s="1239">
        <v>108.18825</v>
      </c>
      <c r="F32" s="1227"/>
      <c r="G32" s="1247" t="s">
        <v>637</v>
      </c>
      <c r="H32" s="1735" t="s">
        <v>108</v>
      </c>
      <c r="I32" s="1736"/>
      <c r="K32" s="1589"/>
      <c r="N32" s="1200"/>
      <c r="P32" s="1598" t="s">
        <v>217</v>
      </c>
      <c r="Q32" s="485" t="s">
        <v>203</v>
      </c>
      <c r="R32" s="1600">
        <f>IF(Q32=15,0,IF(Q32=30,M14,IF(Q32=45,M15,0)))</f>
        <v>0</v>
      </c>
    </row>
    <row r="33" spans="1:18" s="1057" customFormat="1" ht="15.75" thickBot="1">
      <c r="A33" s="1203"/>
      <c r="B33" s="1284">
        <f>margins!A24</f>
        <v>8.375</v>
      </c>
      <c r="C33" s="1241">
        <v>108.66325000000001</v>
      </c>
      <c r="D33" s="1240">
        <v>108.56325</v>
      </c>
      <c r="E33" s="1239">
        <v>108.56325</v>
      </c>
      <c r="F33" s="1227"/>
      <c r="G33" s="1244" t="s">
        <v>636</v>
      </c>
      <c r="H33" s="1733" t="s">
        <v>635</v>
      </c>
      <c r="I33" s="1734"/>
      <c r="K33" s="1589"/>
      <c r="N33" s="1200"/>
      <c r="P33" s="1601" t="s">
        <v>722</v>
      </c>
      <c r="Q33" s="485" t="s">
        <v>203</v>
      </c>
      <c r="R33" s="1602">
        <f>_xlfn.IFNA(VLOOKUP(Q33,G36:J39,4,0), 0)</f>
        <v>0</v>
      </c>
    </row>
    <row r="34" spans="1:18" s="1057" customFormat="1" ht="15.75" thickBot="1">
      <c r="A34" s="1203"/>
      <c r="B34" s="1284">
        <f>margins!A25</f>
        <v>8.5</v>
      </c>
      <c r="C34" s="1241">
        <v>109.03825000000001</v>
      </c>
      <c r="D34" s="1240">
        <v>108.93825</v>
      </c>
      <c r="E34" s="1239">
        <v>108.93825</v>
      </c>
      <c r="F34" s="1227"/>
      <c r="G34" s="1202"/>
      <c r="H34"/>
      <c r="I34"/>
      <c r="J34"/>
      <c r="N34" s="1200"/>
      <c r="P34" s="1603" t="s">
        <v>218</v>
      </c>
      <c r="Q34" s="486"/>
      <c r="R34" s="1604">
        <f>SUM(R17:R33)</f>
        <v>-3.25</v>
      </c>
    </row>
    <row r="35" spans="1:18" s="1057" customFormat="1" ht="15.75" thickBot="1">
      <c r="A35" s="1203"/>
      <c r="B35" s="1284">
        <f>margins!A26</f>
        <v>8.625</v>
      </c>
      <c r="C35" s="1241">
        <v>109.28825000000001</v>
      </c>
      <c r="D35" s="1240">
        <v>109.18825</v>
      </c>
      <c r="E35" s="1239">
        <v>109.18825</v>
      </c>
      <c r="F35" s="1227"/>
      <c r="G35" s="1728" t="str">
        <f ca="1">TEXT(TODAY(), "mmmm") &amp; " Special"</f>
        <v>November Special</v>
      </c>
      <c r="H35" s="1729"/>
      <c r="I35" s="1729"/>
      <c r="J35" s="1730"/>
      <c r="N35" s="1200"/>
      <c r="P35" s="1605"/>
      <c r="Q35" s="474"/>
      <c r="R35" s="1606"/>
    </row>
    <row r="36" spans="1:18" s="1057" customFormat="1" ht="15.75" thickBot="1">
      <c r="A36" s="1203"/>
      <c r="B36" s="1284">
        <f>margins!A27</f>
        <v>8.75</v>
      </c>
      <c r="C36" s="1241">
        <v>109.53825000000001</v>
      </c>
      <c r="D36" s="1240">
        <v>109.43825</v>
      </c>
      <c r="E36" s="1239">
        <v>109.43825</v>
      </c>
      <c r="F36" s="1227"/>
      <c r="G36" s="1306" t="s">
        <v>561</v>
      </c>
      <c r="H36" s="1309"/>
      <c r="I36" s="1309"/>
      <c r="J36" s="1310">
        <v>0.5</v>
      </c>
      <c r="N36" s="1200"/>
      <c r="P36" s="1607" t="s">
        <v>219</v>
      </c>
      <c r="Q36" s="476"/>
      <c r="R36" s="1608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98.797624999999982</v>
      </c>
    </row>
    <row r="37" spans="1:18" s="1057" customFormat="1" ht="15.75" thickBot="1">
      <c r="A37" s="1203"/>
      <c r="B37" s="1284">
        <f>margins!A28</f>
        <v>8.875</v>
      </c>
      <c r="C37" s="1241">
        <v>109.78824999999999</v>
      </c>
      <c r="D37" s="1240">
        <v>109.68825</v>
      </c>
      <c r="E37" s="1239">
        <v>109.68825</v>
      </c>
      <c r="F37" s="1227"/>
      <c r="G37" s="1307" t="s">
        <v>564</v>
      </c>
      <c r="H37" s="1311"/>
      <c r="I37" s="1311"/>
      <c r="J37" s="1312">
        <v>0.25</v>
      </c>
      <c r="N37" s="1200"/>
      <c r="P37" s="1609"/>
      <c r="Q37" s="470"/>
      <c r="R37" s="1610"/>
    </row>
    <row r="38" spans="1:18" s="1057" customFormat="1">
      <c r="A38" s="1203"/>
      <c r="B38" s="1284">
        <f>margins!A29</f>
        <v>9</v>
      </c>
      <c r="C38" s="1241">
        <v>110.03824999999999</v>
      </c>
      <c r="D38" s="1240">
        <v>109.93825</v>
      </c>
      <c r="E38" s="1239">
        <v>109.93825</v>
      </c>
      <c r="F38" s="1227"/>
      <c r="G38" s="1306" t="s">
        <v>562</v>
      </c>
      <c r="H38" s="1309"/>
      <c r="I38" s="1309"/>
      <c r="J38" s="1310">
        <v>0.75</v>
      </c>
      <c r="N38" s="1200"/>
      <c r="P38" s="1611" t="s">
        <v>220</v>
      </c>
      <c r="Q38" s="1612"/>
      <c r="R38" s="1613"/>
    </row>
    <row r="39" spans="1:18" s="1057" customFormat="1" ht="15.75" thickBot="1">
      <c r="A39" s="1203"/>
      <c r="B39" s="1284">
        <f>margins!A30</f>
        <v>9.125</v>
      </c>
      <c r="C39" s="1241">
        <v>110.28824999999999</v>
      </c>
      <c r="D39" s="1240">
        <v>110.18825</v>
      </c>
      <c r="E39" s="1239">
        <v>110.18825</v>
      </c>
      <c r="F39" s="1227"/>
      <c r="G39" s="1307" t="s">
        <v>563</v>
      </c>
      <c r="H39" s="1311"/>
      <c r="I39" s="1311"/>
      <c r="J39" s="1312">
        <v>0.5</v>
      </c>
      <c r="N39" s="1200"/>
    </row>
    <row r="40" spans="1:18" s="1057" customFormat="1">
      <c r="A40" s="1203"/>
      <c r="B40" s="1284">
        <f>margins!A31</f>
        <v>9.25</v>
      </c>
      <c r="C40" s="1241">
        <v>110.53824999999998</v>
      </c>
      <c r="D40" s="1240">
        <v>110.43824999999998</v>
      </c>
      <c r="E40" s="1239">
        <v>110.43824999999998</v>
      </c>
      <c r="F40" s="1227"/>
      <c r="G40" s="1308" t="s">
        <v>549</v>
      </c>
      <c r="N40" s="1200"/>
    </row>
    <row r="41" spans="1:18" s="1057" customFormat="1">
      <c r="A41" s="1203"/>
      <c r="B41" s="1284">
        <f>margins!A32</f>
        <v>9.375</v>
      </c>
      <c r="C41" s="1241">
        <v>110.78824999999998</v>
      </c>
      <c r="D41" s="1240">
        <v>110.68824999999998</v>
      </c>
      <c r="E41" s="1239">
        <v>110.68824999999998</v>
      </c>
      <c r="F41" s="1227"/>
      <c r="G41" s="1308" t="s">
        <v>550</v>
      </c>
      <c r="N41" s="1200"/>
    </row>
    <row r="42" spans="1:18" s="1057" customFormat="1" ht="15.75" thickBot="1">
      <c r="A42" s="1203"/>
      <c r="B42" s="1283">
        <f>margins!A33</f>
        <v>9.5</v>
      </c>
      <c r="C42" s="1237">
        <v>111.03824999999998</v>
      </c>
      <c r="D42" s="1236">
        <v>110.93824999999998</v>
      </c>
      <c r="E42" s="1324">
        <v>110.93824999999998</v>
      </c>
      <c r="F42" s="1227"/>
      <c r="G42" s="1202"/>
      <c r="N42" s="1200"/>
    </row>
    <row r="43" spans="1:18" s="1057" customFormat="1">
      <c r="A43" s="1203"/>
      <c r="B43" s="1235"/>
      <c r="C43" s="1234"/>
      <c r="D43" s="1727"/>
      <c r="E43" s="1727"/>
      <c r="G43" s="1728" t="s">
        <v>740</v>
      </c>
      <c r="H43" s="1729"/>
      <c r="I43" s="1729"/>
      <c r="J43" s="1730"/>
      <c r="N43" s="1200"/>
    </row>
    <row r="44" spans="1:18" s="1057" customFormat="1">
      <c r="A44" s="1203"/>
      <c r="B44" s="1235"/>
      <c r="C44" s="1234"/>
      <c r="D44" s="1234"/>
      <c r="E44" s="1234"/>
      <c r="G44" s="1449" t="s">
        <v>742</v>
      </c>
      <c r="H44" s="1450"/>
      <c r="I44" s="1450"/>
      <c r="J44" s="1574">
        <v>0.25</v>
      </c>
      <c r="N44" s="1200"/>
    </row>
    <row r="45" spans="1:18" s="1057" customFormat="1" ht="16.5" customHeight="1">
      <c r="A45" s="1203"/>
      <c r="B45" s="1235"/>
      <c r="C45" s="1234"/>
      <c r="D45" s="1234"/>
      <c r="E45" s="1234"/>
      <c r="G45" s="1772" t="s">
        <v>741</v>
      </c>
      <c r="H45" s="1773"/>
      <c r="I45" s="1773"/>
      <c r="J45" s="1774"/>
      <c r="N45" s="1200"/>
    </row>
    <row r="46" spans="1:18" s="1057" customFormat="1">
      <c r="A46" s="1203"/>
      <c r="B46" s="1235"/>
      <c r="C46" s="1234"/>
      <c r="D46" s="1234"/>
      <c r="E46" s="1234"/>
      <c r="G46" s="1775"/>
      <c r="H46" s="1776"/>
      <c r="I46" s="1776"/>
      <c r="J46" s="1774"/>
      <c r="N46" s="1200"/>
    </row>
    <row r="47" spans="1:18" s="1057" customFormat="1" ht="15.75" thickBot="1">
      <c r="A47" s="1203"/>
      <c r="B47" s="1235"/>
      <c r="C47" s="1234"/>
      <c r="D47" s="1234"/>
      <c r="E47" s="1234"/>
      <c r="G47" s="1777"/>
      <c r="H47" s="1778"/>
      <c r="I47" s="1778"/>
      <c r="J47" s="1779"/>
      <c r="N47" s="1200"/>
    </row>
    <row r="48" spans="1:18" s="1057" customFormat="1" ht="15.75" thickBot="1">
      <c r="A48" s="1203"/>
      <c r="N48" s="1200"/>
    </row>
    <row r="49" spans="1:14" s="1057" customFormat="1" ht="15.75" thickBot="1">
      <c r="A49" s="1203"/>
      <c r="B49" s="1202" t="s">
        <v>244</v>
      </c>
      <c r="D49" s="1204"/>
      <c r="E49" s="1"/>
      <c r="F49" s="1743" t="s">
        <v>329</v>
      </c>
      <c r="G49" s="1744"/>
      <c r="H49" s="1744"/>
      <c r="I49" s="1744"/>
      <c r="J49" s="1744"/>
      <c r="K49" s="1744"/>
      <c r="L49" s="1744"/>
      <c r="M49" s="1745"/>
      <c r="N49" s="1200"/>
    </row>
    <row r="50" spans="1:14" s="1057" customFormat="1" ht="15.75" thickBot="1">
      <c r="A50" s="1203"/>
      <c r="B50" s="1441"/>
      <c r="C50" s="1454"/>
      <c r="D50" s="1454"/>
      <c r="E50" s="1455" t="s">
        <v>203</v>
      </c>
      <c r="F50" s="1425" t="s">
        <v>15</v>
      </c>
      <c r="G50" s="1437" t="s">
        <v>16</v>
      </c>
      <c r="H50" s="1425" t="s">
        <v>17</v>
      </c>
      <c r="I50" s="1438" t="s">
        <v>18</v>
      </c>
      <c r="J50" s="1439" t="s">
        <v>19</v>
      </c>
      <c r="K50" s="1425" t="s">
        <v>20</v>
      </c>
      <c r="L50" s="1425" t="s">
        <v>21</v>
      </c>
      <c r="M50" s="1440" t="s">
        <v>22</v>
      </c>
      <c r="N50" s="1200"/>
    </row>
    <row r="51" spans="1:14" s="1057" customFormat="1">
      <c r="A51" s="1203"/>
      <c r="B51" s="1749" t="s">
        <v>114</v>
      </c>
      <c r="C51" s="1750" t="s">
        <v>116</v>
      </c>
      <c r="D51" s="1751"/>
      <c r="E51" s="1752"/>
      <c r="F51" s="1213">
        <v>-0.375</v>
      </c>
      <c r="G51" s="1212">
        <v>-0.625</v>
      </c>
      <c r="H51" s="1212">
        <v>-0.875</v>
      </c>
      <c r="I51" s="1212">
        <v>-0.875</v>
      </c>
      <c r="J51" s="1212">
        <v>-1</v>
      </c>
      <c r="K51" s="1212">
        <v>-2</v>
      </c>
      <c r="L51" s="1212">
        <v>-2.5</v>
      </c>
      <c r="M51" s="1211">
        <v>-6.75</v>
      </c>
      <c r="N51" s="1200"/>
    </row>
    <row r="52" spans="1:14" s="1057" customFormat="1">
      <c r="A52" s="1203"/>
      <c r="B52" s="1749"/>
      <c r="C52" s="1714" t="s">
        <v>24</v>
      </c>
      <c r="D52" s="1715"/>
      <c r="E52" s="1716"/>
      <c r="F52" s="1216">
        <v>-0.5</v>
      </c>
      <c r="G52" s="1215">
        <v>-0.75</v>
      </c>
      <c r="H52" s="1215">
        <v>-1.0000000000000002</v>
      </c>
      <c r="I52" s="1215">
        <v>-1</v>
      </c>
      <c r="J52" s="1215">
        <v>-1.25</v>
      </c>
      <c r="K52" s="1215">
        <v>-2.25</v>
      </c>
      <c r="L52" s="1215">
        <v>-2.75</v>
      </c>
      <c r="M52" s="1214">
        <v>-7</v>
      </c>
      <c r="N52" s="1200"/>
    </row>
    <row r="53" spans="1:14" s="1057" customFormat="1">
      <c r="A53" s="1203"/>
      <c r="B53" s="1749"/>
      <c r="C53" s="1714" t="s">
        <v>25</v>
      </c>
      <c r="D53" s="1715"/>
      <c r="E53" s="1716"/>
      <c r="F53" s="1216">
        <v>-0.75</v>
      </c>
      <c r="G53" s="1215">
        <v>-1</v>
      </c>
      <c r="H53" s="1215">
        <v>-1.2500000000000002</v>
      </c>
      <c r="I53" s="1215">
        <v>-1.25</v>
      </c>
      <c r="J53" s="1215">
        <v>-1.5</v>
      </c>
      <c r="K53" s="1215">
        <v>-2.5</v>
      </c>
      <c r="L53" s="1215">
        <v>-3.625</v>
      </c>
      <c r="M53" s="1214">
        <v>-7.375</v>
      </c>
      <c r="N53" s="1200"/>
    </row>
    <row r="54" spans="1:14" s="1057" customFormat="1">
      <c r="A54" s="1203"/>
      <c r="B54" s="1749"/>
      <c r="C54" s="1714" t="s">
        <v>26</v>
      </c>
      <c r="D54" s="1715"/>
      <c r="E54" s="1716"/>
      <c r="F54" s="1216">
        <v>-1.125</v>
      </c>
      <c r="G54" s="1215">
        <v>-1.375</v>
      </c>
      <c r="H54" s="1215">
        <v>-1.3750000000000002</v>
      </c>
      <c r="I54" s="1215">
        <v>-1.875</v>
      </c>
      <c r="J54" s="1215">
        <v>-2.25</v>
      </c>
      <c r="K54" s="1215">
        <v>-3.125</v>
      </c>
      <c r="L54" s="1215">
        <v>-4.375</v>
      </c>
      <c r="M54" s="1214">
        <v>-7.875</v>
      </c>
      <c r="N54" s="1200"/>
    </row>
    <row r="55" spans="1:14" s="1057" customFormat="1">
      <c r="A55" s="1203"/>
      <c r="B55" s="1749"/>
      <c r="C55" s="1714" t="s">
        <v>27</v>
      </c>
      <c r="D55" s="1715"/>
      <c r="E55" s="1716"/>
      <c r="F55" s="1216">
        <v>-1.75</v>
      </c>
      <c r="G55" s="1215">
        <v>-2.125</v>
      </c>
      <c r="H55" s="1215">
        <v>-1.875</v>
      </c>
      <c r="I55" s="1215">
        <v>-2.375</v>
      </c>
      <c r="J55" s="1215">
        <v>-2.75</v>
      </c>
      <c r="K55" s="1215">
        <v>-3.75</v>
      </c>
      <c r="L55" s="1215">
        <v>-4.5</v>
      </c>
      <c r="M55" s="1214" t="s">
        <v>14</v>
      </c>
      <c r="N55" s="1200"/>
    </row>
    <row r="56" spans="1:14" s="1057" customFormat="1">
      <c r="A56" s="1203"/>
      <c r="B56" s="1749"/>
      <c r="C56" s="1714" t="s">
        <v>28</v>
      </c>
      <c r="D56" s="1715"/>
      <c r="E56" s="1716"/>
      <c r="F56" s="1216">
        <v>-2.5</v>
      </c>
      <c r="G56" s="1215">
        <v>-2.875</v>
      </c>
      <c r="H56" s="1215">
        <v>-2.875</v>
      </c>
      <c r="I56" s="1215">
        <v>-3.375</v>
      </c>
      <c r="J56" s="1215">
        <v>-3.75</v>
      </c>
      <c r="K56" s="1215">
        <v>-5.5</v>
      </c>
      <c r="L56" s="1215">
        <v>-6.5</v>
      </c>
      <c r="M56" s="1214" t="s">
        <v>14</v>
      </c>
      <c r="N56" s="1200"/>
    </row>
    <row r="57" spans="1:14" s="1057" customFormat="1">
      <c r="A57" s="1203"/>
      <c r="B57" s="1749"/>
      <c r="C57" s="1714" t="s">
        <v>81</v>
      </c>
      <c r="D57" s="1715"/>
      <c r="E57" s="1716"/>
      <c r="F57" s="1216">
        <v>-4.25</v>
      </c>
      <c r="G57" s="1215">
        <v>-4.5</v>
      </c>
      <c r="H57" s="1215">
        <v>-4.5</v>
      </c>
      <c r="I57" s="1215">
        <v>-5</v>
      </c>
      <c r="J57" s="1215">
        <v>-5.5</v>
      </c>
      <c r="K57" s="1215" t="s">
        <v>14</v>
      </c>
      <c r="L57" s="1215" t="s">
        <v>14</v>
      </c>
      <c r="M57" s="1214" t="s">
        <v>14</v>
      </c>
      <c r="N57" s="1200"/>
    </row>
    <row r="58" spans="1:14" s="1057" customFormat="1" ht="15.75" thickBot="1">
      <c r="A58" s="1203"/>
      <c r="B58" s="1749"/>
      <c r="C58" s="1740" t="s">
        <v>82</v>
      </c>
      <c r="D58" s="1741"/>
      <c r="E58" s="1742"/>
      <c r="F58" s="1278">
        <v>-5.25</v>
      </c>
      <c r="G58" s="1277">
        <v>-5.5</v>
      </c>
      <c r="H58" s="1277">
        <v>-5.75</v>
      </c>
      <c r="I58" s="1277">
        <v>-6.5</v>
      </c>
      <c r="J58" s="1277" t="s">
        <v>14</v>
      </c>
      <c r="K58" s="1277" t="s">
        <v>14</v>
      </c>
      <c r="L58" s="1277" t="s">
        <v>14</v>
      </c>
      <c r="M58" s="1276" t="s">
        <v>14</v>
      </c>
      <c r="N58" s="1200"/>
    </row>
    <row r="59" spans="1:14" s="1057" customFormat="1">
      <c r="A59" s="1203"/>
      <c r="B59" s="1746" t="s">
        <v>697</v>
      </c>
      <c r="C59" s="1717" t="s">
        <v>733</v>
      </c>
      <c r="D59" s="1718"/>
      <c r="E59" s="1719"/>
      <c r="F59" s="1274">
        <v>0.625</v>
      </c>
      <c r="G59" s="1274">
        <v>0.625</v>
      </c>
      <c r="H59" s="1274">
        <v>0.625</v>
      </c>
      <c r="I59" s="1274">
        <v>0.625</v>
      </c>
      <c r="J59" s="1274">
        <v>0.625</v>
      </c>
      <c r="K59" s="1274">
        <v>0.625</v>
      </c>
      <c r="L59" s="1274">
        <v>0.625</v>
      </c>
      <c r="M59" s="1273">
        <v>0.5</v>
      </c>
      <c r="N59" s="1200"/>
    </row>
    <row r="60" spans="1:14" s="1057" customFormat="1">
      <c r="A60" s="1203"/>
      <c r="B60" s="1747"/>
      <c r="C60" s="1714" t="s">
        <v>118</v>
      </c>
      <c r="D60" s="1715"/>
      <c r="E60" s="1716"/>
      <c r="F60" s="1215">
        <v>0</v>
      </c>
      <c r="G60" s="1215">
        <v>0</v>
      </c>
      <c r="H60" s="1215">
        <v>0</v>
      </c>
      <c r="I60" s="1215">
        <v>0</v>
      </c>
      <c r="J60" s="1215">
        <v>0</v>
      </c>
      <c r="K60" s="1215">
        <v>0</v>
      </c>
      <c r="L60" s="1215">
        <v>0</v>
      </c>
      <c r="M60" s="1214">
        <v>0</v>
      </c>
      <c r="N60" s="1200"/>
    </row>
    <row r="61" spans="1:14" s="1057" customFormat="1">
      <c r="A61" s="1203"/>
      <c r="B61" s="1747"/>
      <c r="C61" s="1714" t="s">
        <v>652</v>
      </c>
      <c r="D61" s="1715"/>
      <c r="E61" s="1716"/>
      <c r="F61" s="1216">
        <v>-2.25</v>
      </c>
      <c r="G61" s="1215">
        <v>-2.25</v>
      </c>
      <c r="H61" s="1215">
        <v>-2.25</v>
      </c>
      <c r="I61" s="1215">
        <v>-2.25</v>
      </c>
      <c r="J61" s="1215">
        <v>-2.25</v>
      </c>
      <c r="K61" s="1215">
        <v>-3.25</v>
      </c>
      <c r="L61" s="1215" t="s">
        <v>14</v>
      </c>
      <c r="M61" s="1214" t="s">
        <v>14</v>
      </c>
      <c r="N61" s="1200"/>
    </row>
    <row r="62" spans="1:14" s="1057" customFormat="1">
      <c r="A62" s="1203"/>
      <c r="B62" s="1747"/>
      <c r="C62" s="1714" t="s">
        <v>651</v>
      </c>
      <c r="D62" s="1715"/>
      <c r="E62" s="1716"/>
      <c r="F62" s="1216">
        <v>-5.875</v>
      </c>
      <c r="G62" s="1215">
        <v>-5.875</v>
      </c>
      <c r="H62" s="1215">
        <v>-5.875</v>
      </c>
      <c r="I62" s="1215">
        <v>-6.5</v>
      </c>
      <c r="J62" s="1215">
        <v>-6.875</v>
      </c>
      <c r="K62" s="1215">
        <v>-8.25</v>
      </c>
      <c r="L62" s="1215" t="s">
        <v>14</v>
      </c>
      <c r="M62" s="1214" t="s">
        <v>14</v>
      </c>
      <c r="N62" s="1200"/>
    </row>
    <row r="63" spans="1:14" s="1057" customFormat="1" ht="15.75" thickBot="1">
      <c r="A63" s="1203"/>
      <c r="B63" s="1748"/>
      <c r="C63" s="1711" t="s">
        <v>719</v>
      </c>
      <c r="D63" s="1712"/>
      <c r="E63" s="1713"/>
      <c r="F63" s="1208">
        <v>-0.75</v>
      </c>
      <c r="G63" s="1208">
        <v>-0.75</v>
      </c>
      <c r="H63" s="1208">
        <v>-0.75</v>
      </c>
      <c r="I63" s="1208">
        <v>-0.75</v>
      </c>
      <c r="J63" s="1208">
        <v>-1</v>
      </c>
      <c r="K63" s="1208">
        <v>-1.375</v>
      </c>
      <c r="L63" s="1208">
        <v>-2.125</v>
      </c>
      <c r="M63" s="1207" t="s">
        <v>14</v>
      </c>
      <c r="N63" s="1200"/>
    </row>
    <row r="64" spans="1:14" s="1057" customFormat="1">
      <c r="A64" s="1203"/>
      <c r="N64" s="1200"/>
    </row>
    <row r="65" spans="1:14" s="1057" customFormat="1" ht="15.75" thickBot="1">
      <c r="A65" s="1203"/>
      <c r="N65" s="1200"/>
    </row>
    <row r="66" spans="1:14" s="1057" customFormat="1" ht="15.75" thickBot="1">
      <c r="A66" s="1203"/>
      <c r="B66" s="1202" t="s">
        <v>763</v>
      </c>
      <c r="D66" s="1204"/>
      <c r="E66" s="1"/>
      <c r="F66" s="1743" t="s">
        <v>329</v>
      </c>
      <c r="G66" s="1744"/>
      <c r="H66" s="1744"/>
      <c r="I66" s="1744"/>
      <c r="J66" s="1744"/>
      <c r="K66" s="1744"/>
      <c r="L66" s="1744"/>
      <c r="M66" s="1745"/>
      <c r="N66" s="1200"/>
    </row>
    <row r="67" spans="1:14" s="1057" customFormat="1" ht="15.75" thickBot="1">
      <c r="A67" s="1203"/>
      <c r="B67" s="1708"/>
      <c r="C67" s="1709"/>
      <c r="D67" s="1709"/>
      <c r="E67" s="1709"/>
      <c r="F67" s="1222" t="s">
        <v>15</v>
      </c>
      <c r="G67" s="1425" t="s">
        <v>16</v>
      </c>
      <c r="H67" s="1425" t="s">
        <v>17</v>
      </c>
      <c r="I67" s="1425" t="s">
        <v>18</v>
      </c>
      <c r="J67" s="1425" t="s">
        <v>19</v>
      </c>
      <c r="K67" s="1425" t="s">
        <v>20</v>
      </c>
      <c r="L67" s="1425" t="s">
        <v>21</v>
      </c>
      <c r="M67" s="1440" t="s">
        <v>22</v>
      </c>
      <c r="N67" s="1200"/>
    </row>
    <row r="68" spans="1:14" s="1057" customFormat="1" ht="15" customHeight="1" thickBot="1">
      <c r="A68" s="1203"/>
      <c r="B68" s="1315" t="s">
        <v>72</v>
      </c>
      <c r="C68" s="1708" t="s">
        <v>74</v>
      </c>
      <c r="D68" s="1709"/>
      <c r="E68" s="1710"/>
      <c r="F68" s="1208">
        <v>-0.25</v>
      </c>
      <c r="G68" s="1208">
        <v>-0.25</v>
      </c>
      <c r="H68" s="1208">
        <v>-0.25</v>
      </c>
      <c r="I68" s="1208">
        <v>-0.25</v>
      </c>
      <c r="J68" s="1208">
        <v>-0.25</v>
      </c>
      <c r="K68" s="1208" t="s">
        <v>14</v>
      </c>
      <c r="L68" s="1208" t="s">
        <v>14</v>
      </c>
      <c r="M68" s="1207" t="s">
        <v>14</v>
      </c>
      <c r="N68" s="1200"/>
    </row>
    <row r="69" spans="1:14" s="1057" customFormat="1">
      <c r="A69" s="1203"/>
      <c r="B69" s="1746" t="s">
        <v>739</v>
      </c>
      <c r="C69" s="1717" t="s">
        <v>650</v>
      </c>
      <c r="D69" s="1718"/>
      <c r="E69" s="1719"/>
      <c r="F69" s="1212">
        <v>0</v>
      </c>
      <c r="G69" s="1212">
        <v>0</v>
      </c>
      <c r="H69" s="1212">
        <v>0</v>
      </c>
      <c r="I69" s="1212">
        <v>0</v>
      </c>
      <c r="J69" s="1212">
        <v>0</v>
      </c>
      <c r="K69" s="1212">
        <v>0</v>
      </c>
      <c r="L69" s="1212" t="s">
        <v>14</v>
      </c>
      <c r="M69" s="1211" t="s">
        <v>14</v>
      </c>
      <c r="N69" s="1200"/>
    </row>
    <row r="70" spans="1:14" s="1057" customFormat="1" ht="15.75" thickBot="1">
      <c r="A70" s="1203"/>
      <c r="B70" s="1748"/>
      <c r="C70" s="1711" t="s">
        <v>649</v>
      </c>
      <c r="D70" s="1712"/>
      <c r="E70" s="1713"/>
      <c r="F70" s="1208">
        <v>-0.25</v>
      </c>
      <c r="G70" s="1208">
        <v>-0.25</v>
      </c>
      <c r="H70" s="1208">
        <v>-0.25</v>
      </c>
      <c r="I70" s="1208">
        <v>-0.25</v>
      </c>
      <c r="J70" s="1208">
        <v>-0.375</v>
      </c>
      <c r="K70" s="1208">
        <v>-0.375</v>
      </c>
      <c r="L70" s="1208" t="s">
        <v>14</v>
      </c>
      <c r="M70" s="1207" t="s">
        <v>14</v>
      </c>
      <c r="N70" s="1200"/>
    </row>
    <row r="71" spans="1:14" s="1057" customFormat="1">
      <c r="A71" s="1203"/>
      <c r="B71" s="1788" t="s">
        <v>47</v>
      </c>
      <c r="C71" s="1717" t="s">
        <v>634</v>
      </c>
      <c r="D71" s="1718"/>
      <c r="E71" s="1719"/>
      <c r="F71" s="1212">
        <v>-0.75</v>
      </c>
      <c r="G71" s="1212">
        <v>-0.75</v>
      </c>
      <c r="H71" s="1212">
        <v>-0.875</v>
      </c>
      <c r="I71" s="1212">
        <v>-0.875</v>
      </c>
      <c r="J71" s="1212">
        <v>-0.875</v>
      </c>
      <c r="K71" s="1212">
        <v>-1.75</v>
      </c>
      <c r="L71" s="1212">
        <v>-2</v>
      </c>
      <c r="M71" s="1211">
        <v>-4</v>
      </c>
      <c r="N71" s="1200"/>
    </row>
    <row r="72" spans="1:14" s="1057" customFormat="1">
      <c r="A72" s="1203"/>
      <c r="B72" s="1749"/>
      <c r="C72" s="1714" t="s">
        <v>633</v>
      </c>
      <c r="D72" s="1715"/>
      <c r="E72" s="1716"/>
      <c r="F72" s="1215">
        <v>-0.25</v>
      </c>
      <c r="G72" s="1215">
        <v>-0.25</v>
      </c>
      <c r="H72" s="1215">
        <v>-0.25</v>
      </c>
      <c r="I72" s="1215">
        <v>-0.25</v>
      </c>
      <c r="J72" s="1215">
        <v>-0.25</v>
      </c>
      <c r="K72" s="1215">
        <v>-0.25</v>
      </c>
      <c r="L72" s="1215">
        <v>-0.5</v>
      </c>
      <c r="M72" s="1214">
        <v>-0.5</v>
      </c>
      <c r="N72" s="1200"/>
    </row>
    <row r="73" spans="1:14" s="1057" customFormat="1">
      <c r="A73" s="1203"/>
      <c r="B73" s="1749"/>
      <c r="C73" s="1714" t="s">
        <v>403</v>
      </c>
      <c r="D73" s="1715"/>
      <c r="E73" s="1716"/>
      <c r="F73" s="1215">
        <v>0</v>
      </c>
      <c r="G73" s="1215">
        <v>0</v>
      </c>
      <c r="H73" s="1215">
        <v>0</v>
      </c>
      <c r="I73" s="1215">
        <v>0</v>
      </c>
      <c r="J73" s="1215">
        <v>0</v>
      </c>
      <c r="K73" s="1215">
        <v>0</v>
      </c>
      <c r="L73" s="1215">
        <v>0</v>
      </c>
      <c r="M73" s="1214">
        <v>0</v>
      </c>
      <c r="N73" s="1200"/>
    </row>
    <row r="74" spans="1:14" s="1057" customFormat="1">
      <c r="A74" s="1203"/>
      <c r="B74" s="1749"/>
      <c r="C74" s="1714" t="s">
        <v>404</v>
      </c>
      <c r="D74" s="1715"/>
      <c r="E74" s="1716"/>
      <c r="F74" s="1215">
        <v>0</v>
      </c>
      <c r="G74" s="1215">
        <v>0</v>
      </c>
      <c r="H74" s="1215">
        <v>0</v>
      </c>
      <c r="I74" s="1215">
        <v>0</v>
      </c>
      <c r="J74" s="1215">
        <v>0</v>
      </c>
      <c r="K74" s="1215">
        <v>0</v>
      </c>
      <c r="L74" s="1215">
        <v>0</v>
      </c>
      <c r="M74" s="1214">
        <v>0</v>
      </c>
      <c r="N74" s="1200"/>
    </row>
    <row r="75" spans="1:14" s="1057" customFormat="1">
      <c r="A75" s="1203"/>
      <c r="B75" s="1749"/>
      <c r="C75" s="1714" t="s">
        <v>405</v>
      </c>
      <c r="D75" s="1715"/>
      <c r="E75" s="1716"/>
      <c r="F75" s="1215">
        <v>0</v>
      </c>
      <c r="G75" s="1215">
        <v>0</v>
      </c>
      <c r="H75" s="1215">
        <v>0</v>
      </c>
      <c r="I75" s="1215">
        <v>0</v>
      </c>
      <c r="J75" s="1215">
        <v>0</v>
      </c>
      <c r="K75" s="1215">
        <v>0</v>
      </c>
      <c r="L75" s="1215">
        <v>-0.5</v>
      </c>
      <c r="M75" s="1214" t="s">
        <v>14</v>
      </c>
      <c r="N75" s="1200"/>
    </row>
    <row r="76" spans="1:14" s="1057" customFormat="1">
      <c r="A76" s="1203"/>
      <c r="B76" s="1749"/>
      <c r="C76" s="1714" t="s">
        <v>406</v>
      </c>
      <c r="D76" s="1715"/>
      <c r="E76" s="1716"/>
      <c r="F76" s="1215">
        <v>0</v>
      </c>
      <c r="G76" s="1215">
        <v>0</v>
      </c>
      <c r="H76" s="1215">
        <v>-0.125</v>
      </c>
      <c r="I76" s="1215">
        <v>-0.125</v>
      </c>
      <c r="J76" s="1215">
        <v>-0.25</v>
      </c>
      <c r="K76" s="1215">
        <v>-0.5</v>
      </c>
      <c r="L76" s="1215" t="s">
        <v>14</v>
      </c>
      <c r="M76" s="1214" t="s">
        <v>14</v>
      </c>
      <c r="N76" s="1200"/>
    </row>
    <row r="77" spans="1:14" s="1057" customFormat="1">
      <c r="A77" s="1203"/>
      <c r="B77" s="1749"/>
      <c r="C77" s="1714" t="s">
        <v>400</v>
      </c>
      <c r="D77" s="1715"/>
      <c r="E77" s="1716"/>
      <c r="F77" s="1215">
        <v>-0.375</v>
      </c>
      <c r="G77" s="1215">
        <v>-0.375</v>
      </c>
      <c r="H77" s="1215">
        <v>-0.5</v>
      </c>
      <c r="I77" s="1215">
        <v>-0.75</v>
      </c>
      <c r="J77" s="1215">
        <v>-1</v>
      </c>
      <c r="K77" s="1215" t="s">
        <v>14</v>
      </c>
      <c r="L77" s="1215" t="s">
        <v>14</v>
      </c>
      <c r="M77" s="1214" t="s">
        <v>14</v>
      </c>
      <c r="N77" s="1200"/>
    </row>
    <row r="78" spans="1:14" s="1057" customFormat="1">
      <c r="A78" s="1203"/>
      <c r="B78" s="1749"/>
      <c r="C78" s="1714" t="s">
        <v>401</v>
      </c>
      <c r="D78" s="1715"/>
      <c r="E78" s="1716"/>
      <c r="F78" s="1215">
        <v>-0.75</v>
      </c>
      <c r="G78" s="1215">
        <v>-0.75</v>
      </c>
      <c r="H78" s="1215">
        <v>-0.75</v>
      </c>
      <c r="I78" s="1215">
        <v>-1.125</v>
      </c>
      <c r="J78" s="1215">
        <v>-1.25</v>
      </c>
      <c r="K78" s="1215" t="s">
        <v>14</v>
      </c>
      <c r="L78" s="1215" t="s">
        <v>14</v>
      </c>
      <c r="M78" s="1214" t="s">
        <v>14</v>
      </c>
      <c r="N78" s="1200"/>
    </row>
    <row r="79" spans="1:14" s="1057" customFormat="1" ht="15.75" thickBot="1">
      <c r="A79" s="1203"/>
      <c r="B79" s="1789"/>
      <c r="C79" s="1711" t="s">
        <v>402</v>
      </c>
      <c r="D79" s="1712"/>
      <c r="E79" s="1713"/>
      <c r="F79" s="1208">
        <v>-1.5</v>
      </c>
      <c r="G79" s="1208">
        <v>-1.5</v>
      </c>
      <c r="H79" s="1208">
        <v>-1.5</v>
      </c>
      <c r="I79" s="1208">
        <v>-1.5</v>
      </c>
      <c r="J79" s="1208">
        <v>-2</v>
      </c>
      <c r="K79" s="1208" t="s">
        <v>14</v>
      </c>
      <c r="L79" s="1208" t="s">
        <v>14</v>
      </c>
      <c r="M79" s="1207" t="s">
        <v>14</v>
      </c>
      <c r="N79" s="1200"/>
    </row>
    <row r="80" spans="1:14" s="1057" customFormat="1">
      <c r="A80" s="1203"/>
      <c r="B80" s="1720" t="s">
        <v>56</v>
      </c>
      <c r="C80" s="1717" t="s">
        <v>501</v>
      </c>
      <c r="D80" s="1718"/>
      <c r="E80" s="1719"/>
      <c r="F80" s="1212">
        <v>-0.375</v>
      </c>
      <c r="G80" s="1212">
        <v>-0.375</v>
      </c>
      <c r="H80" s="1212">
        <v>-0.375</v>
      </c>
      <c r="I80" s="1212">
        <v>-0.5</v>
      </c>
      <c r="J80" s="1212">
        <v>-0.75</v>
      </c>
      <c r="K80" s="1212">
        <v>-1.5</v>
      </c>
      <c r="L80" s="1212" t="s">
        <v>14</v>
      </c>
      <c r="M80" s="1211" t="s">
        <v>14</v>
      </c>
      <c r="N80" s="1200"/>
    </row>
    <row r="81" spans="1:14" s="1057" customFormat="1">
      <c r="A81" s="1203"/>
      <c r="B81" s="1791"/>
      <c r="C81" s="1714" t="s">
        <v>500</v>
      </c>
      <c r="D81" s="1715"/>
      <c r="E81" s="1716"/>
      <c r="F81" s="1215">
        <v>-0.75</v>
      </c>
      <c r="G81" s="1215">
        <v>-0.75</v>
      </c>
      <c r="H81" s="1215">
        <v>-0.75</v>
      </c>
      <c r="I81" s="1215">
        <v>-0.875</v>
      </c>
      <c r="J81" s="1215">
        <v>-1.25</v>
      </c>
      <c r="K81" s="1215" t="s">
        <v>14</v>
      </c>
      <c r="L81" s="1215" t="s">
        <v>14</v>
      </c>
      <c r="M81" s="1214" t="s">
        <v>14</v>
      </c>
      <c r="N81" s="1200"/>
    </row>
    <row r="82" spans="1:14" s="1057" customFormat="1" ht="15" customHeight="1" thickBot="1">
      <c r="A82" s="1203"/>
      <c r="B82" s="1737"/>
      <c r="C82" s="1737" t="s">
        <v>720</v>
      </c>
      <c r="D82" s="1738"/>
      <c r="E82" s="1739"/>
      <c r="F82" s="1208">
        <v>-0.625</v>
      </c>
      <c r="G82" s="1208">
        <v>-0.625</v>
      </c>
      <c r="H82" s="1208">
        <v>-0.625</v>
      </c>
      <c r="I82" s="1208">
        <v>-0.75</v>
      </c>
      <c r="J82" s="1208">
        <v>-1.25</v>
      </c>
      <c r="K82" s="1208">
        <v>-2</v>
      </c>
      <c r="L82" s="1208" t="s">
        <v>14</v>
      </c>
      <c r="M82" s="1207" t="s">
        <v>14</v>
      </c>
      <c r="N82" s="1200"/>
    </row>
    <row r="83" spans="1:14" s="1057" customFormat="1" ht="15" customHeight="1">
      <c r="A83" s="1203"/>
      <c r="B83" s="1749" t="s">
        <v>632</v>
      </c>
      <c r="C83" s="1750" t="s">
        <v>63</v>
      </c>
      <c r="D83" s="1751"/>
      <c r="E83" s="1752"/>
      <c r="F83" s="1274">
        <v>-0.125</v>
      </c>
      <c r="G83" s="1274">
        <v>-0.125</v>
      </c>
      <c r="H83" s="1274">
        <v>-0.125</v>
      </c>
      <c r="I83" s="1274">
        <v>-0.25</v>
      </c>
      <c r="J83" s="1274">
        <v>-0.5</v>
      </c>
      <c r="K83" s="1274">
        <v>-0.75</v>
      </c>
      <c r="L83" s="1274">
        <v>-1.5</v>
      </c>
      <c r="M83" s="1273">
        <v>-3.5</v>
      </c>
      <c r="N83" s="1200"/>
    </row>
    <row r="84" spans="1:14" s="1057" customFormat="1">
      <c r="A84" s="1203"/>
      <c r="B84" s="1749"/>
      <c r="C84" s="1714" t="s">
        <v>194</v>
      </c>
      <c r="D84" s="1715"/>
      <c r="E84" s="1716"/>
      <c r="F84" s="1274">
        <v>-1.375</v>
      </c>
      <c r="G84" s="1274">
        <v>-1.375</v>
      </c>
      <c r="H84" s="1274">
        <v>-1.375</v>
      </c>
      <c r="I84" s="1274">
        <v>-1.375</v>
      </c>
      <c r="J84" s="1274">
        <v>-1.375</v>
      </c>
      <c r="K84" s="1274">
        <v>-1.375</v>
      </c>
      <c r="L84" s="1274" t="s">
        <v>14</v>
      </c>
      <c r="M84" s="1273" t="s">
        <v>14</v>
      </c>
      <c r="N84" s="1200"/>
    </row>
    <row r="85" spans="1:14" s="1057" customFormat="1">
      <c r="A85" s="1203"/>
      <c r="B85" s="1749"/>
      <c r="C85" s="1714" t="s">
        <v>279</v>
      </c>
      <c r="D85" s="1715"/>
      <c r="E85" s="1716"/>
      <c r="F85" s="1215">
        <v>-1.375</v>
      </c>
      <c r="G85" s="1215">
        <v>-1.375</v>
      </c>
      <c r="H85" s="1215">
        <v>-1.375</v>
      </c>
      <c r="I85" s="1215">
        <v>-1.375</v>
      </c>
      <c r="J85" s="1215">
        <v>-1.375</v>
      </c>
      <c r="K85" s="1215">
        <v>-1.375</v>
      </c>
      <c r="L85" s="1215">
        <v>-1.75</v>
      </c>
      <c r="M85" s="1214">
        <v>-3.75</v>
      </c>
      <c r="N85" s="1200"/>
    </row>
    <row r="86" spans="1:14" s="1057" customFormat="1" ht="15.75" thickBot="1">
      <c r="A86" s="1203"/>
      <c r="B86" s="1789"/>
      <c r="C86" s="1711" t="s">
        <v>64</v>
      </c>
      <c r="D86" s="1712"/>
      <c r="E86" s="1713"/>
      <c r="F86" s="1208">
        <v>-0.5</v>
      </c>
      <c r="G86" s="1208">
        <v>-0.5</v>
      </c>
      <c r="H86" s="1208">
        <v>-0.5</v>
      </c>
      <c r="I86" s="1208">
        <v>-0.5</v>
      </c>
      <c r="J86" s="1208">
        <v>-0.625</v>
      </c>
      <c r="K86" s="1208">
        <v>-0.75</v>
      </c>
      <c r="L86" s="1208">
        <v>-1.5</v>
      </c>
      <c r="M86" s="1207">
        <v>-4</v>
      </c>
      <c r="N86" s="1200"/>
    </row>
    <row r="87" spans="1:14" s="1057" customFormat="1">
      <c r="A87" s="1203"/>
      <c r="B87" s="1788" t="s">
        <v>65</v>
      </c>
      <c r="C87" s="1717" t="s">
        <v>140</v>
      </c>
      <c r="D87" s="1718"/>
      <c r="E87" s="1719"/>
      <c r="F87" s="1212">
        <v>-0.25</v>
      </c>
      <c r="G87" s="1212">
        <v>-0.25</v>
      </c>
      <c r="H87" s="1212">
        <v>-0.25</v>
      </c>
      <c r="I87" s="1212">
        <v>-0.25</v>
      </c>
      <c r="J87" s="1212">
        <v>-0.25</v>
      </c>
      <c r="K87" s="1212">
        <v>-0.375</v>
      </c>
      <c r="L87" s="1212">
        <v>-0.5</v>
      </c>
      <c r="M87" s="1211">
        <v>-0.5</v>
      </c>
      <c r="N87" s="1200"/>
    </row>
    <row r="88" spans="1:14" s="1057" customFormat="1" ht="15" customHeight="1" thickBot="1">
      <c r="A88" s="1203"/>
      <c r="B88" s="1789"/>
      <c r="C88" s="1711" t="s">
        <v>141</v>
      </c>
      <c r="D88" s="1712"/>
      <c r="E88" s="1713"/>
      <c r="F88" s="1208">
        <v>-0.5</v>
      </c>
      <c r="G88" s="1208">
        <v>-0.5</v>
      </c>
      <c r="H88" s="1208">
        <v>-0.5</v>
      </c>
      <c r="I88" s="1208">
        <v>-0.5</v>
      </c>
      <c r="J88" s="1208">
        <v>-0.625</v>
      </c>
      <c r="K88" s="1208">
        <v>-0.75</v>
      </c>
      <c r="L88" s="1208">
        <v>-1</v>
      </c>
      <c r="M88" s="1207">
        <v>-1.5</v>
      </c>
      <c r="N88" s="1200"/>
    </row>
    <row r="89" spans="1:14" s="1057" customFormat="1">
      <c r="A89" s="1203"/>
      <c r="B89" s="1223"/>
      <c r="C89" s="1720" t="s">
        <v>99</v>
      </c>
      <c r="D89" s="1721"/>
      <c r="E89" s="1722"/>
      <c r="F89" s="1212">
        <v>1.25</v>
      </c>
      <c r="G89" s="1212">
        <v>1.25</v>
      </c>
      <c r="H89" s="1212">
        <v>1.25</v>
      </c>
      <c r="I89" s="1212">
        <v>1.25</v>
      </c>
      <c r="J89" s="1212">
        <v>1.25</v>
      </c>
      <c r="K89" s="1212">
        <v>1</v>
      </c>
      <c r="L89" s="1212">
        <v>1</v>
      </c>
      <c r="M89" s="1211">
        <v>1</v>
      </c>
      <c r="N89" s="1200"/>
    </row>
    <row r="90" spans="1:14" s="1057" customFormat="1">
      <c r="A90" s="1203"/>
      <c r="B90" s="1790" t="s">
        <v>631</v>
      </c>
      <c r="C90" s="1714" t="s">
        <v>100</v>
      </c>
      <c r="D90" s="1715"/>
      <c r="E90" s="1716"/>
      <c r="F90" s="1274">
        <v>0.75</v>
      </c>
      <c r="G90" s="1274">
        <v>0.75</v>
      </c>
      <c r="H90" s="1274">
        <v>0.75</v>
      </c>
      <c r="I90" s="1274">
        <v>0.75</v>
      </c>
      <c r="J90" s="1274">
        <v>0.75</v>
      </c>
      <c r="K90" s="1274">
        <v>0.625</v>
      </c>
      <c r="L90" s="1274">
        <v>0.625</v>
      </c>
      <c r="M90" s="1273">
        <v>0.625</v>
      </c>
      <c r="N90" s="1200"/>
    </row>
    <row r="91" spans="1:14" s="1057" customFormat="1">
      <c r="A91" s="1203"/>
      <c r="B91" s="1790"/>
      <c r="C91" s="1714" t="s">
        <v>7</v>
      </c>
      <c r="D91" s="1715"/>
      <c r="E91" s="1716"/>
      <c r="F91" s="1215">
        <v>0.625</v>
      </c>
      <c r="G91" s="1215">
        <v>0.625</v>
      </c>
      <c r="H91" s="1215">
        <v>0.625</v>
      </c>
      <c r="I91" s="1215">
        <v>0.625</v>
      </c>
      <c r="J91" s="1215">
        <v>0.625</v>
      </c>
      <c r="K91" s="1215">
        <v>0.5</v>
      </c>
      <c r="L91" s="1215">
        <v>0.5</v>
      </c>
      <c r="M91" s="1214">
        <v>0.5</v>
      </c>
      <c r="N91" s="1200"/>
    </row>
    <row r="92" spans="1:14" s="1057" customFormat="1">
      <c r="A92" s="1203"/>
      <c r="B92" s="1790"/>
      <c r="C92" s="1714" t="s">
        <v>9</v>
      </c>
      <c r="D92" s="1715"/>
      <c r="E92" s="1716"/>
      <c r="F92" s="1215">
        <v>0.125</v>
      </c>
      <c r="G92" s="1215">
        <v>0.125</v>
      </c>
      <c r="H92" s="1215">
        <v>0.125</v>
      </c>
      <c r="I92" s="1215">
        <v>0.125</v>
      </c>
      <c r="J92" s="1215">
        <v>0.125</v>
      </c>
      <c r="K92" s="1215">
        <v>0</v>
      </c>
      <c r="L92" s="1215">
        <v>0</v>
      </c>
      <c r="M92" s="1214">
        <v>0</v>
      </c>
      <c r="N92" s="1200"/>
    </row>
    <row r="93" spans="1:14" s="1057" customFormat="1">
      <c r="A93" s="1203"/>
      <c r="B93" s="1790"/>
      <c r="C93" s="1714" t="s">
        <v>11</v>
      </c>
      <c r="D93" s="1715"/>
      <c r="E93" s="1716"/>
      <c r="F93" s="1215">
        <v>-0.5</v>
      </c>
      <c r="G93" s="1215">
        <v>-0.5</v>
      </c>
      <c r="H93" s="1215">
        <v>-0.5</v>
      </c>
      <c r="I93" s="1215">
        <v>-0.5</v>
      </c>
      <c r="J93" s="1215">
        <v>-0.50000000000000022</v>
      </c>
      <c r="K93" s="1215">
        <v>-0.50000000000000022</v>
      </c>
      <c r="L93" s="1215">
        <v>-0.50000000000000022</v>
      </c>
      <c r="M93" s="1214">
        <v>-0.50000000000000022</v>
      </c>
      <c r="N93" s="1200"/>
    </row>
    <row r="94" spans="1:14" s="1057" customFormat="1" ht="15.75" thickBot="1">
      <c r="A94" s="1203"/>
      <c r="B94" s="1790"/>
      <c r="C94" s="1711" t="s">
        <v>101</v>
      </c>
      <c r="D94" s="1712"/>
      <c r="E94" s="1713"/>
      <c r="F94" s="1208">
        <v>-1.0000000000000002</v>
      </c>
      <c r="G94" s="1208">
        <v>-1.0000000000000002</v>
      </c>
      <c r="H94" s="1208">
        <v>-1</v>
      </c>
      <c r="I94" s="1208">
        <v>-1</v>
      </c>
      <c r="J94" s="1208">
        <v>-1</v>
      </c>
      <c r="K94" s="1208">
        <v>-1</v>
      </c>
      <c r="L94" s="1208">
        <v>-1</v>
      </c>
      <c r="M94" s="1207">
        <v>-1</v>
      </c>
      <c r="N94" s="1200"/>
    </row>
    <row r="95" spans="1:14" s="1057" customFormat="1">
      <c r="A95" s="1203"/>
      <c r="B95" s="1426" t="s">
        <v>693</v>
      </c>
      <c r="C95" s="1720" t="s">
        <v>99</v>
      </c>
      <c r="D95" s="1721"/>
      <c r="E95" s="1722"/>
      <c r="F95" s="1212">
        <v>0.875</v>
      </c>
      <c r="G95" s="1212">
        <v>0.875</v>
      </c>
      <c r="H95" s="1212">
        <v>0.875</v>
      </c>
      <c r="I95" s="1212">
        <v>0.875</v>
      </c>
      <c r="J95" s="1212">
        <v>0.875</v>
      </c>
      <c r="K95" s="1212">
        <v>0.625</v>
      </c>
      <c r="L95" s="1212">
        <v>0.625</v>
      </c>
      <c r="M95" s="1211">
        <v>0.625</v>
      </c>
      <c r="N95" s="1200"/>
    </row>
    <row r="96" spans="1:14" s="1057" customFormat="1">
      <c r="A96" s="1203"/>
      <c r="B96" s="1427" t="s">
        <v>253</v>
      </c>
      <c r="C96" s="1714" t="s">
        <v>100</v>
      </c>
      <c r="D96" s="1715"/>
      <c r="E96" s="1716"/>
      <c r="F96" s="1293">
        <v>0.375</v>
      </c>
      <c r="G96" s="1293">
        <v>0.375</v>
      </c>
      <c r="H96" s="1293">
        <v>0.375</v>
      </c>
      <c r="I96" s="1293">
        <v>0.375</v>
      </c>
      <c r="J96" s="1293">
        <v>0.375</v>
      </c>
      <c r="K96" s="1293">
        <v>0.25</v>
      </c>
      <c r="L96" s="1293">
        <v>0.25</v>
      </c>
      <c r="M96" s="1292">
        <v>0.25</v>
      </c>
      <c r="N96" s="1200"/>
    </row>
    <row r="97" spans="1:14" s="1057" customFormat="1">
      <c r="A97" s="1203"/>
      <c r="B97" s="1427" t="s">
        <v>694</v>
      </c>
      <c r="C97" s="1714" t="s">
        <v>7</v>
      </c>
      <c r="D97" s="1715"/>
      <c r="E97" s="1716"/>
      <c r="F97" s="1215">
        <v>0.25</v>
      </c>
      <c r="G97" s="1215">
        <v>0.25</v>
      </c>
      <c r="H97" s="1215">
        <v>0.25</v>
      </c>
      <c r="I97" s="1215">
        <v>0.25</v>
      </c>
      <c r="J97" s="1215">
        <v>0.25</v>
      </c>
      <c r="K97" s="1215">
        <v>0.125</v>
      </c>
      <c r="L97" s="1215">
        <v>0.125</v>
      </c>
      <c r="M97" s="1214">
        <v>0.125</v>
      </c>
      <c r="N97" s="1200"/>
    </row>
    <row r="98" spans="1:14" s="1057" customFormat="1">
      <c r="A98" s="1203"/>
      <c r="B98" s="1427" t="s">
        <v>216</v>
      </c>
      <c r="C98" s="1714" t="s">
        <v>9</v>
      </c>
      <c r="D98" s="1715"/>
      <c r="E98" s="1716"/>
      <c r="F98" s="1215">
        <v>-0.25</v>
      </c>
      <c r="G98" s="1215">
        <v>-0.25</v>
      </c>
      <c r="H98" s="1215">
        <v>-0.25</v>
      </c>
      <c r="I98" s="1215">
        <v>-0.25</v>
      </c>
      <c r="J98" s="1215">
        <v>-0.25</v>
      </c>
      <c r="K98" s="1215">
        <v>-0.375</v>
      </c>
      <c r="L98" s="1215">
        <v>-0.375</v>
      </c>
      <c r="M98" s="1214">
        <v>-0.375</v>
      </c>
      <c r="N98" s="1200"/>
    </row>
    <row r="99" spans="1:14" s="1057" customFormat="1">
      <c r="A99" s="1203"/>
      <c r="B99" s="1427" t="s">
        <v>695</v>
      </c>
      <c r="C99" s="1714" t="s">
        <v>11</v>
      </c>
      <c r="D99" s="1715"/>
      <c r="E99" s="1716"/>
      <c r="F99" s="1215">
        <v>-0.875</v>
      </c>
      <c r="G99" s="1215">
        <v>-0.875</v>
      </c>
      <c r="H99" s="1215">
        <v>-0.875</v>
      </c>
      <c r="I99" s="1215">
        <v>-0.875</v>
      </c>
      <c r="J99" s="1215">
        <v>-0.87500000000000022</v>
      </c>
      <c r="K99" s="1215">
        <v>-0.87500000000000022</v>
      </c>
      <c r="L99" s="1215">
        <v>-0.87500000000000022</v>
      </c>
      <c r="M99" s="1214">
        <v>-0.87500000000000022</v>
      </c>
      <c r="N99" s="1200"/>
    </row>
    <row r="100" spans="1:14" s="1057" customFormat="1" ht="15.75" thickBot="1">
      <c r="A100" s="1203"/>
      <c r="B100" s="1210"/>
      <c r="C100" s="1740" t="s">
        <v>101</v>
      </c>
      <c r="D100" s="1741"/>
      <c r="E100" s="1742"/>
      <c r="F100" s="1279">
        <v>-1.0000000000000002</v>
      </c>
      <c r="G100" s="1279">
        <v>-1.0000000000000002</v>
      </c>
      <c r="H100" s="1279">
        <v>-1</v>
      </c>
      <c r="I100" s="1279">
        <v>-1</v>
      </c>
      <c r="J100" s="1279">
        <v>-1</v>
      </c>
      <c r="K100" s="1279">
        <v>-1</v>
      </c>
      <c r="L100" s="1279">
        <v>-1</v>
      </c>
      <c r="M100" s="1434">
        <v>-1</v>
      </c>
      <c r="N100" s="1200"/>
    </row>
    <row r="101" spans="1:14" s="1057" customFormat="1">
      <c r="A101" s="1203"/>
      <c r="B101" s="1788" t="s">
        <v>68</v>
      </c>
      <c r="C101" s="1717" t="s">
        <v>69</v>
      </c>
      <c r="D101" s="1718"/>
      <c r="E101" s="1719"/>
      <c r="F101" s="1212">
        <v>-0.25</v>
      </c>
      <c r="G101" s="1212">
        <v>-0.25</v>
      </c>
      <c r="H101" s="1212">
        <v>-0.25</v>
      </c>
      <c r="I101" s="1212">
        <v>-0.25</v>
      </c>
      <c r="J101" s="1212">
        <v>-0.25</v>
      </c>
      <c r="K101" s="1212">
        <v>-0.25</v>
      </c>
      <c r="L101" s="1212">
        <v>-0.25</v>
      </c>
      <c r="M101" s="1211" t="s">
        <v>14</v>
      </c>
      <c r="N101" s="1200"/>
    </row>
    <row r="102" spans="1:14" s="1057" customFormat="1">
      <c r="A102" s="1203"/>
      <c r="B102" s="1749"/>
      <c r="C102" s="1714" t="s">
        <v>172</v>
      </c>
      <c r="D102" s="1715"/>
      <c r="E102" s="1716"/>
      <c r="F102" s="1215">
        <v>-0.25</v>
      </c>
      <c r="G102" s="1215">
        <v>-0.25</v>
      </c>
      <c r="H102" s="1215">
        <v>-0.25</v>
      </c>
      <c r="I102" s="1215">
        <v>-0.25</v>
      </c>
      <c r="J102" s="1215">
        <v>-0.25</v>
      </c>
      <c r="K102" s="1215">
        <v>-0.25</v>
      </c>
      <c r="L102" s="1215">
        <v>-0.25</v>
      </c>
      <c r="M102" s="1214">
        <v>-0.25</v>
      </c>
      <c r="N102" s="1200"/>
    </row>
    <row r="103" spans="1:14" s="1057" customFormat="1" ht="15.75" thickBot="1">
      <c r="A103" s="1203"/>
      <c r="B103" s="1789"/>
      <c r="C103" s="1711" t="s">
        <v>508</v>
      </c>
      <c r="D103" s="1712"/>
      <c r="E103" s="1713"/>
      <c r="F103" s="1208">
        <v>-1</v>
      </c>
      <c r="G103" s="1208">
        <v>-1</v>
      </c>
      <c r="H103" s="1208">
        <v>-1</v>
      </c>
      <c r="I103" s="1208">
        <v>-1</v>
      </c>
      <c r="J103" s="1208">
        <v>-1</v>
      </c>
      <c r="K103" s="1208">
        <v>-1</v>
      </c>
      <c r="L103" s="1208">
        <v>-1</v>
      </c>
      <c r="M103" s="1207">
        <v>-1</v>
      </c>
      <c r="N103" s="1200"/>
    </row>
    <row r="104" spans="1:14" s="1057" customFormat="1" ht="15.75" thickBot="1">
      <c r="A104" s="1203"/>
      <c r="B104" s="1210" t="s">
        <v>138</v>
      </c>
      <c r="C104" s="1737" t="s">
        <v>139</v>
      </c>
      <c r="D104" s="1738"/>
      <c r="E104" s="1739"/>
      <c r="F104" s="1208">
        <v>0</v>
      </c>
      <c r="G104" s="1208">
        <v>0</v>
      </c>
      <c r="H104" s="1208">
        <v>0</v>
      </c>
      <c r="I104" s="1208">
        <v>0</v>
      </c>
      <c r="J104" s="1208">
        <v>0</v>
      </c>
      <c r="K104" s="1208">
        <v>-0.25</v>
      </c>
      <c r="L104" s="1208">
        <v>-0.5</v>
      </c>
      <c r="M104" s="1207">
        <v>-0.5</v>
      </c>
      <c r="N104" s="1200"/>
    </row>
    <row r="105" spans="1:14" s="1057" customFormat="1">
      <c r="A105" s="1203"/>
      <c r="N105" s="1200"/>
    </row>
    <row r="106" spans="1:14" s="1057" customFormat="1">
      <c r="A106" s="1203"/>
      <c r="N106" s="1200"/>
    </row>
    <row r="107" spans="1:14" s="1057" customFormat="1">
      <c r="A107" s="1203"/>
      <c r="N107" s="1200"/>
    </row>
    <row r="108" spans="1:14" s="1057" customFormat="1">
      <c r="A108" s="1203"/>
      <c r="N108" s="1200"/>
    </row>
    <row r="109" spans="1:14" s="1057" customFormat="1">
      <c r="A109" s="1203"/>
      <c r="N109" s="1200"/>
    </row>
    <row r="110" spans="1:14" s="1057" customFormat="1" ht="15" customHeight="1">
      <c r="A110" s="1203"/>
      <c r="N110" s="1200"/>
    </row>
    <row r="111" spans="1:14" s="1057" customFormat="1" ht="15" customHeight="1">
      <c r="A111" s="1203"/>
      <c r="N111" s="1200"/>
    </row>
    <row r="112" spans="1:14" s="1057" customFormat="1" ht="15" customHeight="1">
      <c r="A112" s="1203"/>
      <c r="N112" s="1200"/>
    </row>
    <row r="113" spans="1:14" s="1057" customFormat="1" ht="15" customHeight="1">
      <c r="A113" s="1203"/>
      <c r="N113" s="1200"/>
    </row>
    <row r="114" spans="1:14" s="1057" customFormat="1" ht="15" customHeight="1">
      <c r="A114" s="1203"/>
      <c r="N114" s="1200"/>
    </row>
    <row r="115" spans="1:14" s="1057" customFormat="1">
      <c r="A115" s="1203"/>
      <c r="N115" s="1200"/>
    </row>
    <row r="116" spans="1:14" s="1057" customFormat="1">
      <c r="A116" s="1203"/>
      <c r="N116" s="1200"/>
    </row>
    <row r="117" spans="1:14" s="1057" customFormat="1">
      <c r="A117" s="1203"/>
      <c r="N117" s="1200"/>
    </row>
    <row r="118" spans="1:14" s="1057" customFormat="1">
      <c r="A118" s="1203"/>
      <c r="N118" s="1200"/>
    </row>
    <row r="119" spans="1:14" s="1057" customFormat="1">
      <c r="A119" s="1203"/>
      <c r="G119" s="1202"/>
      <c r="H119" s="1201"/>
      <c r="N119" s="1200"/>
    </row>
    <row r="120" spans="1:14" s="1057" customFormat="1">
      <c r="A120" s="1203"/>
      <c r="G120" s="1202"/>
      <c r="H120" s="1201"/>
      <c r="N120" s="1200"/>
    </row>
    <row r="121" spans="1:14" s="1057" customFormat="1">
      <c r="A121" s="1203"/>
      <c r="G121" s="1202"/>
      <c r="H121" s="1201"/>
      <c r="N121" s="1200"/>
    </row>
    <row r="122" spans="1:14" s="1057" customFormat="1">
      <c r="A122" s="1203"/>
      <c r="G122" s="1202"/>
      <c r="H122" s="1201"/>
      <c r="N122" s="1200"/>
    </row>
    <row r="123" spans="1:14" s="1057" customFormat="1">
      <c r="A123" s="1203"/>
      <c r="G123" s="1202"/>
      <c r="H123" s="1201"/>
      <c r="N123" s="1200"/>
    </row>
    <row r="124" spans="1:14" s="1057" customFormat="1">
      <c r="A124" s="1203"/>
      <c r="N124" s="1200"/>
    </row>
    <row r="125" spans="1:14" s="1057" customFormat="1">
      <c r="A125" s="1203"/>
      <c r="N125" s="1200"/>
    </row>
    <row r="126" spans="1:14" s="1057" customFormat="1">
      <c r="A126" s="1203"/>
      <c r="N126" s="1200"/>
    </row>
    <row r="127" spans="1:14" s="1057" customFormat="1" ht="15.75" thickBot="1">
      <c r="A127" s="1626"/>
      <c r="B127" s="1138"/>
      <c r="C127" s="1138"/>
      <c r="D127" s="1138"/>
      <c r="E127" s="1138"/>
      <c r="F127" s="1138"/>
      <c r="G127" s="1138"/>
      <c r="H127" s="1138"/>
      <c r="I127" s="1138"/>
      <c r="J127" s="1138"/>
      <c r="K127" s="1138"/>
      <c r="L127" s="1138"/>
      <c r="M127" s="1138"/>
      <c r="N127" s="1627"/>
    </row>
    <row r="128" spans="1:14" s="1057" customFormat="1">
      <c r="A128" s="1058"/>
      <c r="B128" s="1588"/>
      <c r="C128" s="1588"/>
      <c r="D128" s="1588"/>
      <c r="E128" s="1588"/>
      <c r="F128" s="1588"/>
      <c r="G128" s="1588"/>
      <c r="H128" s="1588"/>
      <c r="I128" s="1588"/>
      <c r="J128" s="1588"/>
      <c r="K128" s="1588"/>
      <c r="L128" s="1588"/>
      <c r="M128" s="1588"/>
    </row>
    <row r="129" spans="1:13" s="1057" customFormat="1">
      <c r="A129" s="1058"/>
      <c r="B129" s="1588"/>
      <c r="C129" s="1588"/>
      <c r="D129" s="1588"/>
      <c r="E129" s="1588"/>
      <c r="F129" s="1588"/>
      <c r="G129" s="1588"/>
      <c r="H129" s="1588"/>
      <c r="I129" s="1588"/>
      <c r="J129" s="1588"/>
      <c r="K129" s="1588"/>
      <c r="L129" s="1588"/>
      <c r="M129" s="1588"/>
    </row>
    <row r="130" spans="1:13" s="1057" customFormat="1">
      <c r="A130" s="1058"/>
      <c r="B130" s="1588"/>
      <c r="C130" s="1588"/>
      <c r="D130" s="1588"/>
      <c r="E130" s="1588"/>
      <c r="F130" s="1588"/>
      <c r="G130" s="1588"/>
      <c r="H130" s="1588"/>
      <c r="I130" s="1588"/>
      <c r="J130" s="1588"/>
      <c r="K130" s="1588"/>
      <c r="L130" s="1588"/>
      <c r="M130" s="1588"/>
    </row>
    <row r="131" spans="1:13">
      <c r="B131" s="1588"/>
      <c r="C131" s="1588"/>
      <c r="D131" s="1588"/>
      <c r="E131" s="1588"/>
      <c r="F131" s="1588"/>
      <c r="G131" s="1588"/>
      <c r="H131" s="1588"/>
      <c r="I131" s="1588"/>
      <c r="J131" s="1588"/>
      <c r="K131" s="1588"/>
      <c r="L131" s="1588"/>
      <c r="M131" s="1588"/>
    </row>
  </sheetData>
  <mergeCells count="97">
    <mergeCell ref="B69:B70"/>
    <mergeCell ref="B90:B94"/>
    <mergeCell ref="B83:B86"/>
    <mergeCell ref="B87:B88"/>
    <mergeCell ref="C89:E89"/>
    <mergeCell ref="C88:E88"/>
    <mergeCell ref="C87:E87"/>
    <mergeCell ref="C70:E70"/>
    <mergeCell ref="B80:B82"/>
    <mergeCell ref="C80:E80"/>
    <mergeCell ref="C81:E81"/>
    <mergeCell ref="C72:E72"/>
    <mergeCell ref="C79:E79"/>
    <mergeCell ref="C78:E78"/>
    <mergeCell ref="C74:E74"/>
    <mergeCell ref="B101:B103"/>
    <mergeCell ref="B71:B79"/>
    <mergeCell ref="C73:E73"/>
    <mergeCell ref="C71:E71"/>
    <mergeCell ref="C93:E93"/>
    <mergeCell ref="C92:E92"/>
    <mergeCell ref="C91:E91"/>
    <mergeCell ref="C90:E90"/>
    <mergeCell ref="C76:E76"/>
    <mergeCell ref="C75:E75"/>
    <mergeCell ref="C86:E86"/>
    <mergeCell ref="C85:E85"/>
    <mergeCell ref="C84:E84"/>
    <mergeCell ref="C83:E83"/>
    <mergeCell ref="C97:E97"/>
    <mergeCell ref="C96:E96"/>
    <mergeCell ref="K18:M19"/>
    <mergeCell ref="G22:H22"/>
    <mergeCell ref="G21:H21"/>
    <mergeCell ref="G20:H20"/>
    <mergeCell ref="K20:M21"/>
    <mergeCell ref="K22:M23"/>
    <mergeCell ref="F49:M49"/>
    <mergeCell ref="H31:I31"/>
    <mergeCell ref="K24:M25"/>
    <mergeCell ref="H30:I30"/>
    <mergeCell ref="G26:H26"/>
    <mergeCell ref="G25:H25"/>
    <mergeCell ref="G45:J47"/>
    <mergeCell ref="G24:H24"/>
    <mergeCell ref="G43:J43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F66:M66"/>
    <mergeCell ref="B67:E67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104:E104"/>
    <mergeCell ref="C103:E103"/>
    <mergeCell ref="C102:E102"/>
    <mergeCell ref="C101:E101"/>
    <mergeCell ref="C98:E98"/>
    <mergeCell ref="C99:E99"/>
    <mergeCell ref="C100:E100"/>
    <mergeCell ref="C95:E95"/>
    <mergeCell ref="C94:E94"/>
    <mergeCell ref="G16:H16"/>
    <mergeCell ref="G23:H23"/>
    <mergeCell ref="G19:H19"/>
    <mergeCell ref="G18:H18"/>
    <mergeCell ref="G17:H17"/>
    <mergeCell ref="C61:E61"/>
    <mergeCell ref="D43:E43"/>
    <mergeCell ref="G35:J35"/>
    <mergeCell ref="H29:I29"/>
    <mergeCell ref="H33:I33"/>
    <mergeCell ref="H32:I32"/>
    <mergeCell ref="C77:E77"/>
    <mergeCell ref="C82:E82"/>
    <mergeCell ref="C52:E52"/>
    <mergeCell ref="C68:E68"/>
    <mergeCell ref="C63:E63"/>
    <mergeCell ref="C60:E60"/>
    <mergeCell ref="C59:E59"/>
    <mergeCell ref="C69:E69"/>
  </mergeCells>
  <dataValidations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774D10C-1AFC-4949-9DFA-1082C0D685E7}">
          <x14:formula1>
            <xm:f>margins!$A$144:$A$150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margins!$A$138:$A$139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margins!$A$141:$A$142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margins!$A$135:$A$136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margins!$A$214:$A$216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margins!$A$129:$A$133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margins!$A$124:$A$127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margins!$A$119:$A$121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margins!$A$116:$A$117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margins!$A$110:$A$113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margins!$A$197:$A$201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margins!$A$183:$A$184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margins!$A$155:$A$164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margins!$A$180:$A$181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margins!$A$152:$A$153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margins!$A$166:$A$172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margins!$A$190:$A$195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margins!$A$203:$A$212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2"/>
      <c r="B2" s="1643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342"/>
      <c r="P2" s="343"/>
    </row>
    <row r="3" spans="1:16" ht="9.9499999999999993" customHeight="1">
      <c r="A3" s="1645"/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6"/>
      <c r="D6" s="1646"/>
      <c r="E6" s="1646"/>
      <c r="F6" s="1646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7"/>
      <c r="D7" s="1647"/>
      <c r="E7" s="1647"/>
      <c r="F7" s="1647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8"/>
      <c r="D8" s="1648"/>
      <c r="E8" s="1648"/>
      <c r="F8" s="1648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896"/>
      <c r="C9" s="897"/>
      <c r="D9" s="897"/>
      <c r="E9" s="897"/>
      <c r="F9" s="1998" t="s">
        <v>361</v>
      </c>
      <c r="G9" s="1998"/>
      <c r="H9" s="1999">
        <v>45978</v>
      </c>
      <c r="I9" s="1999"/>
      <c r="J9" s="1999"/>
      <c r="K9" s="1999"/>
      <c r="L9" s="897"/>
      <c r="M9" s="897"/>
      <c r="N9" s="897"/>
      <c r="O9" s="898"/>
      <c r="P9" s="359"/>
    </row>
    <row r="10" spans="1:16" ht="9.75" hidden="1" customHeight="1">
      <c r="A10" s="360"/>
      <c r="B10" s="899"/>
      <c r="C10" s="1651"/>
      <c r="D10" s="1651"/>
      <c r="E10" s="1651"/>
      <c r="F10" s="1651"/>
      <c r="G10" s="406"/>
      <c r="H10" s="406"/>
      <c r="I10" s="406"/>
      <c r="J10" s="406"/>
      <c r="K10" s="407"/>
      <c r="L10" s="407"/>
      <c r="M10" s="407"/>
      <c r="N10" s="408"/>
      <c r="O10" s="900"/>
      <c r="P10" s="359"/>
    </row>
    <row r="11" spans="1:16" ht="15" hidden="1" customHeight="1">
      <c r="A11" s="360"/>
      <c r="B11" s="899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900"/>
      <c r="P11" s="359"/>
    </row>
    <row r="12" spans="1:16" ht="15" customHeight="1">
      <c r="A12" s="360"/>
      <c r="B12" s="2000" t="s">
        <v>494</v>
      </c>
      <c r="C12" s="1652"/>
      <c r="D12" s="1652"/>
      <c r="E12" s="1652"/>
      <c r="F12" s="1652"/>
      <c r="G12" s="1652"/>
      <c r="H12" s="1652"/>
      <c r="I12" s="1652"/>
      <c r="J12" s="1652"/>
      <c r="K12" s="1652"/>
      <c r="L12" s="1652"/>
      <c r="M12" s="1652"/>
      <c r="N12" s="1652"/>
      <c r="O12" s="2001"/>
      <c r="P12" s="359"/>
    </row>
    <row r="13" spans="1:16" ht="9.9499999999999993" customHeight="1">
      <c r="A13" s="367"/>
      <c r="B13" s="402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70"/>
      <c r="P13" s="369"/>
    </row>
    <row r="14" spans="1:16" ht="9.9499999999999993" customHeight="1">
      <c r="A14" s="367"/>
      <c r="B14" s="1996" t="s">
        <v>173</v>
      </c>
      <c r="C14" s="1654"/>
      <c r="D14" s="1654"/>
      <c r="E14" s="1654"/>
      <c r="F14" s="1654"/>
      <c r="G14" s="1655"/>
      <c r="H14" s="368"/>
      <c r="I14" s="1653" t="s">
        <v>174</v>
      </c>
      <c r="J14" s="1654"/>
      <c r="K14" s="1654"/>
      <c r="L14" s="1654"/>
      <c r="M14" s="1654"/>
      <c r="N14" s="1654"/>
      <c r="O14" s="1891"/>
      <c r="P14" s="369"/>
    </row>
    <row r="15" spans="1:16" ht="9.9499999999999993" customHeight="1">
      <c r="A15" s="367"/>
      <c r="B15" s="1997"/>
      <c r="C15" s="1657"/>
      <c r="D15" s="1657"/>
      <c r="E15" s="1657"/>
      <c r="F15" s="1657"/>
      <c r="G15" s="1658"/>
      <c r="H15" s="368"/>
      <c r="I15" s="1656"/>
      <c r="J15" s="1657"/>
      <c r="K15" s="1657"/>
      <c r="L15" s="1657"/>
      <c r="M15" s="1657"/>
      <c r="N15" s="1657"/>
      <c r="O15" s="1892"/>
      <c r="P15" s="369"/>
    </row>
    <row r="16" spans="1:16" ht="9.9499999999999993" customHeight="1">
      <c r="A16" s="368"/>
      <c r="B16" s="901"/>
      <c r="C16" s="371"/>
      <c r="D16" s="371"/>
      <c r="E16" s="371"/>
      <c r="F16" s="371"/>
      <c r="G16" s="372"/>
      <c r="H16" s="368"/>
      <c r="I16" s="373"/>
      <c r="J16" s="2002" t="s">
        <v>284</v>
      </c>
      <c r="K16" s="2003"/>
      <c r="L16" s="2003"/>
      <c r="M16" s="2004"/>
      <c r="N16" s="2005"/>
      <c r="O16" s="689"/>
      <c r="P16" s="369"/>
    </row>
    <row r="17" spans="1:17" ht="5.0999999999999996" customHeight="1">
      <c r="A17" s="368"/>
      <c r="B17" s="402"/>
      <c r="C17" s="374"/>
      <c r="D17" s="374"/>
      <c r="E17" s="374"/>
      <c r="F17" s="374"/>
      <c r="G17" s="375"/>
      <c r="H17" s="368"/>
      <c r="I17" s="376"/>
      <c r="J17" s="2003"/>
      <c r="K17" s="2003"/>
      <c r="L17" s="2003"/>
      <c r="M17" s="2004"/>
      <c r="N17" s="2005"/>
      <c r="O17" s="902"/>
      <c r="P17" s="369"/>
    </row>
    <row r="18" spans="1:17" ht="9.9499999999999993" customHeight="1">
      <c r="A18" s="368"/>
      <c r="B18" s="402"/>
      <c r="C18" s="378" t="s">
        <v>175</v>
      </c>
      <c r="D18" s="379"/>
      <c r="E18" s="379"/>
      <c r="F18" s="380"/>
      <c r="G18" s="381"/>
      <c r="H18" s="368"/>
      <c r="I18" s="376"/>
      <c r="J18" s="2003"/>
      <c r="K18" s="2003"/>
      <c r="L18" s="2003"/>
      <c r="M18" s="2004"/>
      <c r="N18" s="2005"/>
      <c r="O18" s="688"/>
      <c r="P18" s="369"/>
    </row>
    <row r="19" spans="1:17" ht="9.9499999999999993" customHeight="1">
      <c r="A19" s="368"/>
      <c r="B19" s="402"/>
      <c r="C19" s="382" t="s">
        <v>176</v>
      </c>
      <c r="D19" s="903" t="s">
        <v>682</v>
      </c>
      <c r="E19" s="379"/>
      <c r="F19" s="384"/>
      <c r="G19" s="385"/>
      <c r="H19" s="368"/>
      <c r="I19" s="376"/>
      <c r="J19" s="2003"/>
      <c r="K19" s="2003"/>
      <c r="L19" s="2003"/>
      <c r="M19" s="2004"/>
      <c r="N19" s="2005"/>
      <c r="O19" s="688"/>
      <c r="P19" s="369"/>
    </row>
    <row r="20" spans="1:17" ht="9.9499999999999993" customHeight="1">
      <c r="A20" s="368"/>
      <c r="B20" s="402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2003"/>
      <c r="K20" s="2003"/>
      <c r="L20" s="2003"/>
      <c r="M20" s="2004"/>
      <c r="N20" s="2005"/>
      <c r="O20" s="688"/>
      <c r="P20" s="369"/>
    </row>
    <row r="21" spans="1:17" ht="9.9499999999999993" customHeight="1">
      <c r="A21" s="368"/>
      <c r="B21" s="402"/>
      <c r="C21" s="409" t="s">
        <v>180</v>
      </c>
      <c r="D21" s="410"/>
      <c r="E21" s="386"/>
      <c r="F21" s="386"/>
      <c r="G21" s="381"/>
      <c r="H21" s="368"/>
      <c r="I21" s="376"/>
      <c r="J21" s="2003"/>
      <c r="K21" s="2003"/>
      <c r="L21" s="2003"/>
      <c r="M21" s="2004"/>
      <c r="N21" s="2005"/>
      <c r="O21" s="688"/>
      <c r="P21" s="369"/>
    </row>
    <row r="22" spans="1:17" ht="5.0999999999999996" customHeight="1">
      <c r="A22" s="368"/>
      <c r="B22" s="402"/>
      <c r="C22" s="409"/>
      <c r="D22" s="410"/>
      <c r="E22" s="386"/>
      <c r="F22" s="386"/>
      <c r="G22" s="381"/>
      <c r="H22" s="368"/>
      <c r="I22" s="376"/>
      <c r="J22" s="2003"/>
      <c r="K22" s="2003"/>
      <c r="L22" s="2003"/>
      <c r="M22" s="2004"/>
      <c r="N22" s="2005"/>
      <c r="O22" s="688"/>
      <c r="P22" s="369"/>
    </row>
    <row r="23" spans="1:17" ht="9.9499999999999993" customHeight="1">
      <c r="A23" s="368"/>
      <c r="B23" s="904"/>
      <c r="C23" s="388"/>
      <c r="D23" s="388"/>
      <c r="E23" s="388"/>
      <c r="F23" s="388"/>
      <c r="G23" s="389"/>
      <c r="H23" s="368"/>
      <c r="I23" s="390"/>
      <c r="J23" s="1663"/>
      <c r="K23" s="1663"/>
      <c r="L23" s="1663"/>
      <c r="M23" s="1664"/>
      <c r="N23" s="1665"/>
      <c r="O23" s="905"/>
      <c r="P23" s="369"/>
    </row>
    <row r="24" spans="1:17" ht="9.9499999999999993" customHeight="1">
      <c r="A24" s="367"/>
      <c r="B24" s="402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688"/>
      <c r="P24" s="369"/>
    </row>
    <row r="25" spans="1:17" ht="9.9499999999999993" customHeight="1">
      <c r="A25" s="367"/>
      <c r="B25" s="1996" t="s">
        <v>181</v>
      </c>
      <c r="C25" s="1654"/>
      <c r="D25" s="1654"/>
      <c r="E25" s="1654"/>
      <c r="F25" s="1654"/>
      <c r="G25" s="1655"/>
      <c r="H25" s="391"/>
      <c r="I25" s="1653" t="s">
        <v>184</v>
      </c>
      <c r="J25" s="1654"/>
      <c r="K25" s="1654"/>
      <c r="L25" s="1654"/>
      <c r="M25" s="1654"/>
      <c r="N25" s="1654"/>
      <c r="O25" s="1891"/>
      <c r="P25" s="369"/>
    </row>
    <row r="26" spans="1:17" ht="9.9499999999999993" customHeight="1">
      <c r="A26" s="367"/>
      <c r="B26" s="1997"/>
      <c r="C26" s="1657"/>
      <c r="D26" s="1657"/>
      <c r="E26" s="1657"/>
      <c r="F26" s="1657"/>
      <c r="G26" s="1658"/>
      <c r="H26" s="391"/>
      <c r="I26" s="1656"/>
      <c r="J26" s="1657"/>
      <c r="K26" s="1657"/>
      <c r="L26" s="1657"/>
      <c r="M26" s="1657"/>
      <c r="N26" s="1657"/>
      <c r="O26" s="1892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693" t="s">
        <v>185</v>
      </c>
      <c r="L27" s="417"/>
      <c r="M27" s="685">
        <v>-0.125</v>
      </c>
      <c r="N27" s="417"/>
      <c r="O27" s="418"/>
      <c r="P27" s="369"/>
    </row>
    <row r="28" spans="1:17" ht="11.25" customHeight="1">
      <c r="A28" s="367"/>
      <c r="B28" s="402"/>
      <c r="C28" s="1666" t="s">
        <v>495</v>
      </c>
      <c r="D28" s="1667"/>
      <c r="E28" s="1667"/>
      <c r="F28" s="1667"/>
      <c r="G28" s="1939"/>
      <c r="H28" s="368"/>
      <c r="I28" s="886"/>
      <c r="J28" s="888"/>
      <c r="K28" s="691" t="s">
        <v>199</v>
      </c>
      <c r="L28" s="888"/>
      <c r="M28" s="692">
        <v>-0.25</v>
      </c>
      <c r="N28" s="888"/>
      <c r="O28" s="887"/>
      <c r="P28" s="369"/>
    </row>
    <row r="29" spans="1:17" ht="11.25" customHeight="1">
      <c r="A29" s="367"/>
      <c r="B29" s="402"/>
      <c r="C29" s="666" t="s">
        <v>496</v>
      </c>
      <c r="D29" s="396"/>
      <c r="E29" s="396"/>
      <c r="F29" s="124"/>
      <c r="G29" s="125" t="s">
        <v>182</v>
      </c>
      <c r="H29" s="368"/>
      <c r="I29" s="883"/>
      <c r="J29" s="884"/>
      <c r="K29" s="691" t="s">
        <v>200</v>
      </c>
      <c r="L29" s="884"/>
      <c r="M29" s="692">
        <v>-0.375</v>
      </c>
      <c r="N29" s="884"/>
      <c r="O29" s="885"/>
      <c r="P29" s="369"/>
      <c r="Q29" s="493"/>
    </row>
    <row r="30" spans="1:17" ht="9.9499999999999993" customHeight="1">
      <c r="A30" s="367"/>
      <c r="B30" s="402"/>
      <c r="C30" s="666" t="s">
        <v>497</v>
      </c>
      <c r="D30" s="396"/>
      <c r="E30" s="396"/>
      <c r="F30" s="124"/>
      <c r="G30" s="125" t="s">
        <v>183</v>
      </c>
      <c r="H30" s="368"/>
      <c r="I30" s="883"/>
      <c r="J30" s="884"/>
      <c r="K30" s="691" t="s">
        <v>201</v>
      </c>
      <c r="L30" s="884"/>
      <c r="M30" s="692">
        <v>-0.5</v>
      </c>
      <c r="N30" s="884"/>
      <c r="O30" s="885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2008" t="s">
        <v>31</v>
      </c>
      <c r="J32" s="2009"/>
      <c r="K32" s="2009"/>
      <c r="L32" s="2009"/>
      <c r="M32" s="2009"/>
      <c r="N32" s="2009"/>
      <c r="O32" s="2010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881"/>
      <c r="J33" s="392"/>
      <c r="K33" s="392"/>
      <c r="L33" s="392"/>
      <c r="M33" s="392"/>
      <c r="N33" s="392"/>
      <c r="O33" s="687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881"/>
      <c r="J34" s="392"/>
      <c r="K34" s="392"/>
      <c r="L34" s="392"/>
      <c r="M34" s="392"/>
      <c r="N34" s="392"/>
      <c r="O34" s="687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I35" s="889"/>
      <c r="J35" s="684"/>
      <c r="K35" s="684"/>
      <c r="L35" s="684"/>
      <c r="M35" s="684"/>
      <c r="N35" s="684"/>
      <c r="O35" s="882"/>
      <c r="P35" s="369"/>
    </row>
    <row r="36" spans="1:16" ht="9.9499999999999993" customHeight="1">
      <c r="A36" s="367"/>
      <c r="B36" s="402"/>
      <c r="D36" s="674"/>
      <c r="E36" s="676"/>
      <c r="O36" s="688"/>
      <c r="P36" s="369"/>
    </row>
    <row r="37" spans="1:16" ht="9.9499999999999993" customHeight="1">
      <c r="A37" s="367"/>
      <c r="B37" s="1692" t="s">
        <v>186</v>
      </c>
      <c r="C37" s="1693"/>
      <c r="D37" s="1693"/>
      <c r="E37" s="1693"/>
      <c r="F37" s="1693"/>
      <c r="G37" s="1693"/>
      <c r="H37" s="1693"/>
      <c r="I37" s="1693"/>
      <c r="J37" s="1693"/>
      <c r="K37" s="1693"/>
      <c r="L37" s="1693"/>
      <c r="M37" s="1693"/>
      <c r="N37" s="1693"/>
      <c r="O37" s="1694"/>
      <c r="P37" s="369"/>
    </row>
    <row r="38" spans="1:16" ht="9.9499999999999993" customHeight="1">
      <c r="A38" s="367"/>
      <c r="B38" s="1672"/>
      <c r="C38" s="1673"/>
      <c r="D38" s="1673"/>
      <c r="E38" s="1673"/>
      <c r="F38" s="1673"/>
      <c r="G38" s="1673"/>
      <c r="H38" s="1673"/>
      <c r="I38" s="1673"/>
      <c r="J38" s="1673"/>
      <c r="K38" s="1673"/>
      <c r="L38" s="1673"/>
      <c r="M38" s="1673"/>
      <c r="N38" s="1673"/>
      <c r="O38" s="1695"/>
      <c r="P38" s="369"/>
    </row>
    <row r="39" spans="1:16" ht="15">
      <c r="A39" s="367"/>
      <c r="B39" s="426"/>
      <c r="C39" s="36" t="s">
        <v>187</v>
      </c>
      <c r="D39" s="436"/>
      <c r="E39" s="436"/>
      <c r="F39" s="436"/>
      <c r="G39" s="436"/>
      <c r="H39" s="437"/>
      <c r="I39" s="435"/>
      <c r="J39" s="435"/>
      <c r="K39" s="435"/>
      <c r="L39" s="435"/>
      <c r="M39" s="435"/>
      <c r="N39" s="435"/>
      <c r="O39" s="429"/>
      <c r="P39" s="369"/>
    </row>
    <row r="40" spans="1:16" ht="15">
      <c r="A40" s="367"/>
      <c r="B40" s="402"/>
      <c r="C40" s="36" t="s">
        <v>382</v>
      </c>
      <c r="D40" s="36"/>
      <c r="E40" s="36"/>
      <c r="F40" s="36"/>
      <c r="G40" s="36"/>
      <c r="H40" s="36"/>
      <c r="I40" s="36"/>
      <c r="J40" s="36"/>
      <c r="K40" s="36"/>
      <c r="L40" s="36"/>
      <c r="M40" s="435"/>
      <c r="N40" s="435"/>
      <c r="O40" s="431"/>
      <c r="P40" s="369"/>
    </row>
    <row r="41" spans="1:16" ht="9.9499999999999993" customHeight="1">
      <c r="A41" s="367"/>
      <c r="B41" s="402"/>
      <c r="H41" s="368"/>
      <c r="O41" s="431"/>
      <c r="P41" s="369"/>
    </row>
    <row r="42" spans="1:16" ht="10.5" customHeight="1">
      <c r="A42" s="367"/>
      <c r="B42" s="413"/>
      <c r="C42" s="396" t="s">
        <v>188</v>
      </c>
      <c r="H42" s="368"/>
      <c r="O42" s="431"/>
      <c r="P42" s="369"/>
    </row>
    <row r="43" spans="1:16" ht="9.9499999999999993" customHeight="1">
      <c r="A43" s="367"/>
      <c r="B43" s="430"/>
      <c r="C43" s="890"/>
      <c r="D43" s="684"/>
      <c r="E43" s="684"/>
      <c r="F43" s="684"/>
      <c r="G43" s="684"/>
      <c r="H43" s="891"/>
      <c r="I43" s="684"/>
      <c r="J43" s="684"/>
      <c r="K43" s="684"/>
      <c r="L43" s="684"/>
      <c r="M43" s="684"/>
      <c r="N43" s="684"/>
      <c r="O43" s="433"/>
      <c r="P43" s="369"/>
    </row>
    <row r="44" spans="1:16" ht="9.9499999999999993" customHeight="1">
      <c r="A44" s="367"/>
      <c r="B44" s="906"/>
      <c r="C44" s="892"/>
      <c r="D44" s="893"/>
      <c r="E44" s="893"/>
      <c r="F44" s="2006"/>
      <c r="G44" s="2006"/>
      <c r="H44" s="894"/>
      <c r="I44" s="676"/>
      <c r="J44" s="676"/>
      <c r="K44" s="676"/>
      <c r="L44" s="676"/>
      <c r="M44" s="676"/>
      <c r="N44" s="676"/>
      <c r="O44" s="907"/>
      <c r="P44" s="369"/>
    </row>
    <row r="45" spans="1:16" ht="9.9499999999999993" customHeight="1" thickBot="1">
      <c r="A45" s="367"/>
      <c r="B45" s="413"/>
      <c r="C45" s="403"/>
      <c r="D45" s="403"/>
      <c r="E45" s="403"/>
      <c r="F45" s="403"/>
      <c r="G45" s="337"/>
      <c r="H45" s="337"/>
      <c r="I45" s="895"/>
      <c r="J45" s="895"/>
      <c r="K45" s="895"/>
      <c r="L45" s="895"/>
      <c r="M45" s="895"/>
      <c r="N45" s="895"/>
      <c r="O45" s="431"/>
      <c r="P45" s="369"/>
    </row>
    <row r="46" spans="1:16" ht="9.9499999999999993" customHeight="1">
      <c r="A46" s="367"/>
      <c r="B46" s="2011" t="s">
        <v>505</v>
      </c>
      <c r="C46" s="2012"/>
      <c r="D46" s="2012"/>
      <c r="E46" s="2012"/>
      <c r="F46" s="2012"/>
      <c r="G46" s="2012"/>
      <c r="H46" s="2012"/>
      <c r="I46" s="2012"/>
      <c r="J46" s="2012"/>
      <c r="K46" s="2012"/>
      <c r="L46" s="2012"/>
      <c r="M46" s="2012"/>
      <c r="N46" s="2012"/>
      <c r="O46" s="2013"/>
      <c r="P46" s="369"/>
    </row>
    <row r="47" spans="1:16" ht="9.9499999999999993" customHeight="1">
      <c r="A47" s="367"/>
      <c r="B47" s="2014"/>
      <c r="C47" s="2015"/>
      <c r="D47" s="2015"/>
      <c r="E47" s="2015"/>
      <c r="F47" s="2015"/>
      <c r="G47" s="2015"/>
      <c r="H47" s="2015"/>
      <c r="I47" s="2015"/>
      <c r="J47" s="2015"/>
      <c r="K47" s="2015"/>
      <c r="L47" s="2015"/>
      <c r="M47" s="2015"/>
      <c r="N47" s="2015"/>
      <c r="O47" s="2016"/>
      <c r="P47" s="369"/>
    </row>
    <row r="48" spans="1:16" ht="9.9499999999999993" customHeight="1">
      <c r="A48" s="367"/>
      <c r="B48" s="2014"/>
      <c r="C48" s="2015"/>
      <c r="D48" s="2015"/>
      <c r="E48" s="2015"/>
      <c r="F48" s="2015"/>
      <c r="G48" s="2015"/>
      <c r="H48" s="2015"/>
      <c r="I48" s="2015"/>
      <c r="J48" s="2015"/>
      <c r="K48" s="2015"/>
      <c r="L48" s="2015"/>
      <c r="M48" s="2015"/>
      <c r="N48" s="2015"/>
      <c r="O48" s="2016"/>
      <c r="P48" s="369"/>
    </row>
    <row r="49" spans="1:16" ht="9.9499999999999993" customHeight="1">
      <c r="A49" s="367"/>
      <c r="B49" s="2017"/>
      <c r="C49" s="2018"/>
      <c r="D49" s="2018"/>
      <c r="E49" s="2018"/>
      <c r="F49" s="2018"/>
      <c r="G49" s="2018"/>
      <c r="H49" s="2018"/>
      <c r="I49" s="2018"/>
      <c r="J49" s="2018"/>
      <c r="K49" s="2018"/>
      <c r="L49" s="2018"/>
      <c r="M49" s="2018"/>
      <c r="N49" s="2018"/>
      <c r="O49" s="2019"/>
      <c r="P49" s="369"/>
    </row>
    <row r="50" spans="1:16" ht="15" customHeight="1">
      <c r="A50" s="367"/>
      <c r="B50" s="2017"/>
      <c r="C50" s="2018"/>
      <c r="D50" s="2018"/>
      <c r="E50" s="2018"/>
      <c r="F50" s="2018"/>
      <c r="G50" s="2018"/>
      <c r="H50" s="2018"/>
      <c r="I50" s="2018"/>
      <c r="J50" s="2018"/>
      <c r="K50" s="2018"/>
      <c r="L50" s="2018"/>
      <c r="M50" s="2018"/>
      <c r="N50" s="2018"/>
      <c r="O50" s="2019"/>
      <c r="P50" s="369"/>
    </row>
    <row r="51" spans="1:16" ht="15" customHeight="1">
      <c r="A51" s="367"/>
      <c r="B51" s="2017"/>
      <c r="C51" s="2018"/>
      <c r="D51" s="2018"/>
      <c r="E51" s="2018"/>
      <c r="F51" s="2018"/>
      <c r="G51" s="2018"/>
      <c r="H51" s="2018"/>
      <c r="I51" s="2018"/>
      <c r="J51" s="2018"/>
      <c r="K51" s="2018"/>
      <c r="L51" s="2018"/>
      <c r="M51" s="2018"/>
      <c r="N51" s="2018"/>
      <c r="O51" s="2019"/>
      <c r="P51" s="369"/>
    </row>
    <row r="52" spans="1:16" ht="9.9499999999999993" customHeight="1">
      <c r="A52" s="367"/>
      <c r="B52" s="2017"/>
      <c r="C52" s="2018"/>
      <c r="D52" s="2018"/>
      <c r="E52" s="2018"/>
      <c r="F52" s="2018"/>
      <c r="G52" s="2018"/>
      <c r="H52" s="2018"/>
      <c r="I52" s="2018"/>
      <c r="J52" s="2018"/>
      <c r="K52" s="2018"/>
      <c r="L52" s="2018"/>
      <c r="M52" s="2018"/>
      <c r="N52" s="2018"/>
      <c r="O52" s="2019"/>
      <c r="P52" s="369"/>
    </row>
    <row r="53" spans="1:16" ht="9.9499999999999993" customHeight="1">
      <c r="A53" s="394"/>
      <c r="B53" s="2017"/>
      <c r="C53" s="2018"/>
      <c r="D53" s="2018"/>
      <c r="E53" s="2018"/>
      <c r="F53" s="2018"/>
      <c r="G53" s="2018"/>
      <c r="H53" s="2018"/>
      <c r="I53" s="2018"/>
      <c r="J53" s="2018"/>
      <c r="K53" s="2018"/>
      <c r="L53" s="2018"/>
      <c r="M53" s="2018"/>
      <c r="N53" s="2018"/>
      <c r="O53" s="2019"/>
      <c r="P53" s="395"/>
    </row>
    <row r="54" spans="1:16" ht="9.9499999999999993" customHeight="1">
      <c r="A54" s="394"/>
      <c r="B54" s="2017"/>
      <c r="C54" s="2018"/>
      <c r="D54" s="2018"/>
      <c r="E54" s="2018"/>
      <c r="F54" s="2018"/>
      <c r="G54" s="2018"/>
      <c r="H54" s="2018"/>
      <c r="I54" s="2018"/>
      <c r="J54" s="2018"/>
      <c r="K54" s="2018"/>
      <c r="L54" s="2018"/>
      <c r="M54" s="2018"/>
      <c r="N54" s="2018"/>
      <c r="O54" s="2019"/>
      <c r="P54" s="395"/>
    </row>
    <row r="55" spans="1:16" ht="9.9499999999999993" customHeight="1">
      <c r="A55" s="394"/>
      <c r="B55" s="2017"/>
      <c r="C55" s="2018"/>
      <c r="D55" s="2018"/>
      <c r="E55" s="2018"/>
      <c r="F55" s="2018"/>
      <c r="G55" s="2018"/>
      <c r="H55" s="2018"/>
      <c r="I55" s="2018"/>
      <c r="J55" s="2018"/>
      <c r="K55" s="2018"/>
      <c r="L55" s="2018"/>
      <c r="M55" s="2018"/>
      <c r="N55" s="2018"/>
      <c r="O55" s="2019"/>
      <c r="P55" s="395"/>
    </row>
    <row r="56" spans="1:16" ht="9.9499999999999993" customHeight="1">
      <c r="A56" s="394"/>
      <c r="B56" s="2017"/>
      <c r="C56" s="2018"/>
      <c r="D56" s="2018"/>
      <c r="E56" s="2018"/>
      <c r="F56" s="2018"/>
      <c r="G56" s="2018"/>
      <c r="H56" s="2018"/>
      <c r="I56" s="2018"/>
      <c r="J56" s="2018"/>
      <c r="K56" s="2018"/>
      <c r="L56" s="2018"/>
      <c r="M56" s="2018"/>
      <c r="N56" s="2018"/>
      <c r="O56" s="2019"/>
      <c r="P56" s="395"/>
    </row>
    <row r="57" spans="1:16" ht="9.9499999999999993" customHeight="1">
      <c r="A57" s="394"/>
      <c r="B57" s="2017"/>
      <c r="C57" s="2018"/>
      <c r="D57" s="2018"/>
      <c r="E57" s="2018"/>
      <c r="F57" s="2018"/>
      <c r="G57" s="2018"/>
      <c r="H57" s="2018"/>
      <c r="I57" s="2018"/>
      <c r="J57" s="2018"/>
      <c r="K57" s="2018"/>
      <c r="L57" s="2018"/>
      <c r="M57" s="2018"/>
      <c r="N57" s="2018"/>
      <c r="O57" s="2019"/>
      <c r="P57" s="395"/>
    </row>
    <row r="58" spans="1:16" ht="9.9499999999999993" customHeight="1">
      <c r="A58" s="394"/>
      <c r="B58" s="2017"/>
      <c r="C58" s="2018"/>
      <c r="D58" s="2018"/>
      <c r="E58" s="2018"/>
      <c r="F58" s="2018"/>
      <c r="G58" s="2018"/>
      <c r="H58" s="2018"/>
      <c r="I58" s="2018"/>
      <c r="J58" s="2018"/>
      <c r="K58" s="2018"/>
      <c r="L58" s="2018"/>
      <c r="M58" s="2018"/>
      <c r="N58" s="2018"/>
      <c r="O58" s="2019"/>
      <c r="P58" s="395"/>
    </row>
    <row r="59" spans="1:16" ht="9.9499999999999993" customHeight="1">
      <c r="A59" s="404"/>
      <c r="B59" s="2017"/>
      <c r="C59" s="2018"/>
      <c r="D59" s="2018"/>
      <c r="E59" s="2018"/>
      <c r="F59" s="2018"/>
      <c r="G59" s="2018"/>
      <c r="H59" s="2018"/>
      <c r="I59" s="2018"/>
      <c r="J59" s="2018"/>
      <c r="K59" s="2018"/>
      <c r="L59" s="2018"/>
      <c r="M59" s="2018"/>
      <c r="N59" s="2018"/>
      <c r="O59" s="2019"/>
      <c r="P59" s="395"/>
    </row>
    <row r="60" spans="1:16" ht="9.9499999999999993" customHeight="1">
      <c r="A60" s="404"/>
      <c r="B60" s="2017"/>
      <c r="C60" s="2018"/>
      <c r="D60" s="2018"/>
      <c r="E60" s="2018"/>
      <c r="F60" s="2018"/>
      <c r="G60" s="2018"/>
      <c r="H60" s="2018"/>
      <c r="I60" s="2018"/>
      <c r="J60" s="2018"/>
      <c r="K60" s="2018"/>
      <c r="L60" s="2018"/>
      <c r="M60" s="2018"/>
      <c r="N60" s="2018"/>
      <c r="O60" s="2019"/>
      <c r="P60" s="395"/>
    </row>
    <row r="61" spans="1:16" ht="9.9499999999999993" customHeight="1">
      <c r="A61" s="404"/>
      <c r="B61" s="2017"/>
      <c r="C61" s="2018"/>
      <c r="D61" s="2018"/>
      <c r="E61" s="2018"/>
      <c r="F61" s="2018"/>
      <c r="G61" s="2018"/>
      <c r="H61" s="2018"/>
      <c r="I61" s="2018"/>
      <c r="J61" s="2018"/>
      <c r="K61" s="2018"/>
      <c r="L61" s="2018"/>
      <c r="M61" s="2018"/>
      <c r="N61" s="2018"/>
      <c r="O61" s="2019"/>
      <c r="P61" s="403"/>
    </row>
    <row r="62" spans="1:16" ht="9.9499999999999993" customHeight="1">
      <c r="A62" s="404"/>
      <c r="B62" s="2017"/>
      <c r="C62" s="2018"/>
      <c r="D62" s="2018"/>
      <c r="E62" s="2018"/>
      <c r="F62" s="2018"/>
      <c r="G62" s="2018"/>
      <c r="H62" s="2018"/>
      <c r="I62" s="2018"/>
      <c r="J62" s="2018"/>
      <c r="K62" s="2018"/>
      <c r="L62" s="2018"/>
      <c r="M62" s="2018"/>
      <c r="N62" s="2018"/>
      <c r="O62" s="2019"/>
      <c r="P62" s="403"/>
    </row>
    <row r="63" spans="1:16" ht="9.9499999999999993" customHeight="1">
      <c r="A63" s="404"/>
      <c r="B63" s="2017"/>
      <c r="C63" s="2018"/>
      <c r="D63" s="2018"/>
      <c r="E63" s="2018"/>
      <c r="F63" s="2018"/>
      <c r="G63" s="2018"/>
      <c r="H63" s="2018"/>
      <c r="I63" s="2018"/>
      <c r="J63" s="2018"/>
      <c r="K63" s="2018"/>
      <c r="L63" s="2018"/>
      <c r="M63" s="2018"/>
      <c r="N63" s="2018"/>
      <c r="O63" s="2019"/>
      <c r="P63" s="403"/>
    </row>
    <row r="64" spans="1:16" ht="9.9499999999999993" customHeight="1">
      <c r="A64" s="404"/>
      <c r="B64" s="2017"/>
      <c r="C64" s="2018"/>
      <c r="D64" s="2018"/>
      <c r="E64" s="2018"/>
      <c r="F64" s="2018"/>
      <c r="G64" s="2018"/>
      <c r="H64" s="2018"/>
      <c r="I64" s="2018"/>
      <c r="J64" s="2018"/>
      <c r="K64" s="2018"/>
      <c r="L64" s="2018"/>
      <c r="M64" s="2018"/>
      <c r="N64" s="2018"/>
      <c r="O64" s="2019"/>
      <c r="P64" s="395"/>
    </row>
    <row r="65" spans="1:16" ht="9.9499999999999993" customHeight="1">
      <c r="A65" s="404"/>
      <c r="B65" s="2017"/>
      <c r="C65" s="2018"/>
      <c r="D65" s="2018"/>
      <c r="E65" s="2018"/>
      <c r="F65" s="2018"/>
      <c r="G65" s="2018"/>
      <c r="H65" s="2018"/>
      <c r="I65" s="2018"/>
      <c r="J65" s="2018"/>
      <c r="K65" s="2018"/>
      <c r="L65" s="2018"/>
      <c r="M65" s="2018"/>
      <c r="N65" s="2018"/>
      <c r="O65" s="2019"/>
      <c r="P65" s="395"/>
    </row>
    <row r="66" spans="1:16" ht="9.9499999999999993" customHeight="1">
      <c r="A66" s="404"/>
      <c r="B66" s="2017"/>
      <c r="C66" s="2018"/>
      <c r="D66" s="2018"/>
      <c r="E66" s="2018"/>
      <c r="F66" s="2018"/>
      <c r="G66" s="2018"/>
      <c r="H66" s="2018"/>
      <c r="I66" s="2018"/>
      <c r="J66" s="2018"/>
      <c r="K66" s="2018"/>
      <c r="L66" s="2018"/>
      <c r="M66" s="2018"/>
      <c r="N66" s="2018"/>
      <c r="O66" s="2019"/>
      <c r="P66" s="395"/>
    </row>
    <row r="67" spans="1:16" ht="9.9499999999999993" customHeight="1">
      <c r="A67" s="404"/>
      <c r="B67" s="2017"/>
      <c r="C67" s="2018"/>
      <c r="D67" s="2018"/>
      <c r="E67" s="2018"/>
      <c r="F67" s="2018"/>
      <c r="G67" s="2018"/>
      <c r="H67" s="2018"/>
      <c r="I67" s="2018"/>
      <c r="J67" s="2018"/>
      <c r="K67" s="2018"/>
      <c r="L67" s="2018"/>
      <c r="M67" s="2018"/>
      <c r="N67" s="2018"/>
      <c r="O67" s="2019"/>
      <c r="P67" s="395"/>
    </row>
    <row r="68" spans="1:16" ht="12" customHeight="1">
      <c r="A68" s="404"/>
      <c r="B68" s="2017"/>
      <c r="C68" s="2018"/>
      <c r="D68" s="2018"/>
      <c r="E68" s="2018"/>
      <c r="F68" s="2018"/>
      <c r="G68" s="2018"/>
      <c r="H68" s="2018"/>
      <c r="I68" s="2018"/>
      <c r="J68" s="2018"/>
      <c r="K68" s="2018"/>
      <c r="L68" s="2018"/>
      <c r="M68" s="2018"/>
      <c r="N68" s="2018"/>
      <c r="O68" s="2019"/>
      <c r="P68" s="395"/>
    </row>
    <row r="69" spans="1:16" ht="12" customHeight="1">
      <c r="A69" s="405"/>
      <c r="B69" s="2017"/>
      <c r="C69" s="2018"/>
      <c r="D69" s="2018"/>
      <c r="E69" s="2018"/>
      <c r="F69" s="2018"/>
      <c r="G69" s="2018"/>
      <c r="H69" s="2018"/>
      <c r="I69" s="2018"/>
      <c r="J69" s="2018"/>
      <c r="K69" s="2018"/>
      <c r="L69" s="2018"/>
      <c r="M69" s="2018"/>
      <c r="N69" s="2018"/>
      <c r="O69" s="2019"/>
      <c r="P69" s="397"/>
    </row>
    <row r="70" spans="1:16" ht="9.9499999999999993" customHeight="1">
      <c r="A70" s="398"/>
      <c r="B70" s="2017"/>
      <c r="C70" s="2018"/>
      <c r="D70" s="2018"/>
      <c r="E70" s="2018"/>
      <c r="F70" s="2018"/>
      <c r="G70" s="2018"/>
      <c r="H70" s="2018"/>
      <c r="I70" s="2018"/>
      <c r="J70" s="2018"/>
      <c r="K70" s="2018"/>
      <c r="L70" s="2018"/>
      <c r="M70" s="2018"/>
      <c r="N70" s="2018"/>
      <c r="O70" s="2019"/>
      <c r="P70" s="398"/>
    </row>
    <row r="71" spans="1:16" ht="89.25" customHeight="1" thickBot="1">
      <c r="A71" s="398"/>
      <c r="B71" s="2020"/>
      <c r="C71" s="2021"/>
      <c r="D71" s="2021"/>
      <c r="E71" s="2021"/>
      <c r="F71" s="2021"/>
      <c r="G71" s="2021"/>
      <c r="H71" s="2021"/>
      <c r="I71" s="2021"/>
      <c r="J71" s="2021"/>
      <c r="K71" s="2021"/>
      <c r="L71" s="2021"/>
      <c r="M71" s="2021"/>
      <c r="N71" s="2021"/>
      <c r="O71" s="2022"/>
      <c r="P71" s="398"/>
    </row>
    <row r="72" spans="1:16" ht="6.6" customHeight="1">
      <c r="B72" s="2007" t="s">
        <v>189</v>
      </c>
      <c r="C72" s="1706"/>
      <c r="D72" s="1706"/>
      <c r="E72" s="1706"/>
      <c r="F72" s="1706"/>
      <c r="G72" s="1706"/>
      <c r="H72" s="1706"/>
      <c r="I72" s="1706"/>
      <c r="J72" s="1706"/>
      <c r="K72" s="1706"/>
      <c r="L72" s="1706"/>
      <c r="M72" s="1706"/>
      <c r="N72" s="1706"/>
      <c r="O72" s="1707"/>
    </row>
    <row r="73" spans="1:16">
      <c r="B73" s="1705"/>
      <c r="C73" s="1706"/>
      <c r="D73" s="1706"/>
      <c r="E73" s="1706"/>
      <c r="F73" s="1706"/>
      <c r="G73" s="1706"/>
      <c r="H73" s="1706"/>
      <c r="I73" s="1706"/>
      <c r="J73" s="1706"/>
      <c r="K73" s="1706"/>
      <c r="L73" s="1706"/>
      <c r="M73" s="1706"/>
      <c r="N73" s="1706"/>
      <c r="O73" s="1707"/>
    </row>
    <row r="74" spans="1:16">
      <c r="B74" s="1677" t="s">
        <v>190</v>
      </c>
      <c r="C74" s="1678"/>
      <c r="D74" s="1678"/>
      <c r="E74" s="1678"/>
      <c r="F74" s="1678"/>
      <c r="G74" s="1678"/>
      <c r="H74" s="1678"/>
      <c r="I74" s="1678"/>
      <c r="J74" s="1678"/>
      <c r="K74" s="1678"/>
      <c r="L74" s="1678"/>
      <c r="M74" s="1678"/>
      <c r="N74" s="1678"/>
      <c r="O74" s="1679"/>
    </row>
    <row r="75" spans="1:16" ht="9.9499999999999993" customHeight="1">
      <c r="B75" s="1680" t="s">
        <v>191</v>
      </c>
      <c r="C75" s="1681"/>
      <c r="D75" s="1681"/>
      <c r="E75" s="1681"/>
      <c r="F75" s="1681"/>
      <c r="G75" s="1681"/>
      <c r="H75" s="1681"/>
      <c r="I75" s="1681"/>
      <c r="J75" s="1681"/>
      <c r="K75" s="1681"/>
      <c r="L75" s="1681"/>
      <c r="M75" s="1681"/>
      <c r="N75" s="1681"/>
      <c r="O75" s="1682"/>
    </row>
    <row r="76" spans="1:16" ht="13.5" customHeight="1">
      <c r="B76" s="1683" t="s">
        <v>192</v>
      </c>
      <c r="C76" s="1684"/>
      <c r="D76" s="1684"/>
      <c r="E76" s="1684"/>
      <c r="F76" s="1684"/>
      <c r="G76" s="1684"/>
      <c r="H76" s="1684"/>
      <c r="I76" s="1684"/>
      <c r="J76" s="1684"/>
      <c r="K76" s="1684"/>
      <c r="L76" s="1684"/>
      <c r="M76" s="1684"/>
      <c r="N76" s="1684"/>
      <c r="O76" s="1685"/>
    </row>
    <row r="77" spans="1:16">
      <c r="B77" s="1686"/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8"/>
    </row>
  </sheetData>
  <mergeCells count="23"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3"/>
  <sheetViews>
    <sheetView showGridLines="0" topLeftCell="A39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0" bestFit="1" customWidth="1"/>
  </cols>
  <sheetData>
    <row r="1" spans="1:14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26.25">
      <c r="A2" s="40"/>
      <c r="B2" s="41"/>
      <c r="C2" s="1792" t="s">
        <v>477</v>
      </c>
      <c r="D2" s="1792"/>
      <c r="E2" s="1792"/>
      <c r="F2" s="1792"/>
      <c r="G2" s="1792"/>
      <c r="H2" s="1792"/>
      <c r="I2" s="1792"/>
      <c r="N2" s="39"/>
    </row>
    <row r="3" spans="1:14" ht="31.5" thickBot="1">
      <c r="A3" s="42"/>
      <c r="B3" s="43"/>
      <c r="C3" s="44"/>
      <c r="D3" s="45"/>
      <c r="E3" s="45"/>
      <c r="F3" s="45"/>
      <c r="G3" s="45"/>
      <c r="H3" s="45"/>
      <c r="I3" s="681">
        <f ca="1">TODAY()</f>
        <v>45978</v>
      </c>
      <c r="N3" s="39"/>
    </row>
    <row r="4" spans="1:14" ht="30.75">
      <c r="A4" s="47"/>
      <c r="B4" s="47"/>
      <c r="C4" s="47"/>
      <c r="D4" s="48"/>
      <c r="E4" s="48"/>
      <c r="F4" s="48"/>
      <c r="G4" s="48"/>
      <c r="H4" s="48"/>
      <c r="I4" s="49"/>
      <c r="N4" s="39"/>
    </row>
    <row r="5" spans="1:14">
      <c r="A5" s="50"/>
      <c r="B5" s="50"/>
      <c r="C5" s="50"/>
      <c r="D5" s="50"/>
      <c r="E5" s="50"/>
      <c r="F5" s="50"/>
      <c r="G5" s="50"/>
      <c r="H5" s="50"/>
      <c r="I5" s="50"/>
      <c r="N5" s="39"/>
    </row>
    <row r="6" spans="1:14" ht="15.75" thickBot="1">
      <c r="I6" s="470"/>
      <c r="J6" s="470"/>
      <c r="K6" s="470"/>
      <c r="L6" s="470"/>
      <c r="M6" s="471"/>
      <c r="N6" s="39"/>
    </row>
    <row r="7" spans="1:14" ht="15.75" thickBot="1">
      <c r="B7" s="2023" t="s">
        <v>476</v>
      </c>
      <c r="C7" s="2024"/>
      <c r="D7" s="2025"/>
      <c r="I7" s="470"/>
      <c r="K7" s="478" t="s">
        <v>473</v>
      </c>
      <c r="L7" s="478"/>
      <c r="M7" s="1577">
        <v>45978.399699074071</v>
      </c>
      <c r="N7" s="39"/>
    </row>
    <row r="8" spans="1:14" ht="15.75" thickBot="1">
      <c r="A8" s="51" t="s">
        <v>3</v>
      </c>
      <c r="B8" s="52" t="s">
        <v>13</v>
      </c>
      <c r="C8" s="53" t="s">
        <v>102</v>
      </c>
      <c r="D8" s="53" t="s">
        <v>93</v>
      </c>
      <c r="F8" s="55" t="s">
        <v>97</v>
      </c>
      <c r="G8" s="57" t="s">
        <v>6</v>
      </c>
      <c r="I8" s="470"/>
      <c r="K8" s="471"/>
      <c r="L8" s="471"/>
      <c r="M8" s="471"/>
      <c r="N8" s="39"/>
    </row>
    <row r="9" spans="1:14" ht="15.75" thickBot="1">
      <c r="A9" s="496">
        <f>margins!$CF3</f>
        <v>6</v>
      </c>
      <c r="B9" s="496">
        <f>margins!CG3-margins!CJ3</f>
        <v>95.506999999999991</v>
      </c>
      <c r="C9" s="496">
        <f>margins!CH3-margins!CJ3</f>
        <v>95.406999999999996</v>
      </c>
      <c r="D9" s="496">
        <f>margins!CI3-margins!CJ3</f>
        <v>95.406999999999996</v>
      </c>
      <c r="E9" s="75" t="s">
        <v>195</v>
      </c>
      <c r="F9" s="59" t="s">
        <v>99</v>
      </c>
      <c r="G9" s="61">
        <v>101</v>
      </c>
      <c r="I9" s="470"/>
      <c r="K9" s="494" t="s">
        <v>207</v>
      </c>
      <c r="L9" s="495" t="s">
        <v>208</v>
      </c>
      <c r="M9" s="495" t="s">
        <v>209</v>
      </c>
      <c r="N9" s="39"/>
    </row>
    <row r="10" spans="1:14" ht="15.75" thickBot="1">
      <c r="A10" s="496">
        <f>margins!$CF4</f>
        <v>6.125</v>
      </c>
      <c r="B10" s="496">
        <f>margins!CG4-margins!CJ4</f>
        <v>96.506999999999991</v>
      </c>
      <c r="C10" s="496">
        <f>margins!CH4-margins!CJ4</f>
        <v>96.406999999999996</v>
      </c>
      <c r="D10" s="496">
        <f>margins!CI4-margins!CJ4</f>
        <v>96.406999999999996</v>
      </c>
      <c r="E10" s="75" t="s">
        <v>196</v>
      </c>
      <c r="F10" s="59" t="s">
        <v>100</v>
      </c>
      <c r="G10" s="61">
        <v>101</v>
      </c>
      <c r="I10" s="470"/>
      <c r="K10" s="471"/>
      <c r="L10" s="471"/>
      <c r="M10" s="471"/>
      <c r="N10" s="39"/>
    </row>
    <row r="11" spans="1:14">
      <c r="A11" s="496">
        <f>margins!$CF5</f>
        <v>6.25</v>
      </c>
      <c r="B11" s="496">
        <f>margins!CG5-margins!CJ5</f>
        <v>97.381999999999991</v>
      </c>
      <c r="C11" s="496">
        <f>margins!CH5-margins!CJ5</f>
        <v>97.281999999999996</v>
      </c>
      <c r="D11" s="496">
        <f>margins!CI5-margins!CJ5</f>
        <v>97.281999999999996</v>
      </c>
      <c r="E11" s="75" t="s">
        <v>197</v>
      </c>
      <c r="F11" s="59" t="s">
        <v>7</v>
      </c>
      <c r="G11" s="61">
        <v>101</v>
      </c>
      <c r="I11" s="470"/>
      <c r="K11" s="480" t="s">
        <v>210</v>
      </c>
      <c r="L11" s="484" t="s">
        <v>204</v>
      </c>
      <c r="M11" s="488"/>
      <c r="N11" s="39"/>
    </row>
    <row r="12" spans="1:14">
      <c r="A12" s="496">
        <f>margins!$CF6</f>
        <v>6.375</v>
      </c>
      <c r="B12" s="496">
        <f>margins!CG6-margins!CJ6</f>
        <v>98.131999999999991</v>
      </c>
      <c r="C12" s="496">
        <f>margins!CH6-margins!CJ6</f>
        <v>98.031999999999996</v>
      </c>
      <c r="D12" s="496">
        <f>margins!CI6-margins!CJ6</f>
        <v>98.031999999999996</v>
      </c>
      <c r="E12" s="75" t="s">
        <v>198</v>
      </c>
      <c r="F12" s="59" t="s">
        <v>9</v>
      </c>
      <c r="G12" s="61">
        <v>101</v>
      </c>
      <c r="I12" s="470"/>
      <c r="K12" s="481" t="s">
        <v>211</v>
      </c>
      <c r="L12" s="485">
        <v>7.875</v>
      </c>
      <c r="M12" s="489">
        <f>IF(L11="7/6 Arm",VLOOKUP(L12,$A$8:$D$37,2,FALSE),IF(L11="10/6 Arm",VLOOKUP(L12,$A$8:$D$37,3,FALSE),VLOOKUP(L12,$A$8:$D$37,4,FALSE)))</f>
        <v>105.352</v>
      </c>
    </row>
    <row r="13" spans="1:14">
      <c r="A13" s="496">
        <f>margins!$CF7</f>
        <v>6.5</v>
      </c>
      <c r="B13" s="496">
        <f>margins!CG7-margins!CJ7</f>
        <v>98.82</v>
      </c>
      <c r="C13" s="496">
        <f>margins!CH7-margins!CJ7</f>
        <v>98.72</v>
      </c>
      <c r="D13" s="496">
        <f>margins!CI7-margins!CJ7</f>
        <v>98.72</v>
      </c>
      <c r="F13" s="59" t="s">
        <v>11</v>
      </c>
      <c r="G13" s="61">
        <v>100</v>
      </c>
      <c r="I13" s="470"/>
      <c r="K13" s="481" t="s">
        <v>386</v>
      </c>
      <c r="L13" s="485" t="s">
        <v>18</v>
      </c>
      <c r="M13" s="489"/>
    </row>
    <row r="14" spans="1:14" ht="15.75" thickBot="1">
      <c r="A14" s="496">
        <f>margins!$CF8</f>
        <v>6.625</v>
      </c>
      <c r="B14" s="496">
        <f>margins!CG8-margins!CJ8</f>
        <v>99.506999999999991</v>
      </c>
      <c r="C14" s="496">
        <f>margins!CH8-margins!CJ8</f>
        <v>99.406999999999996</v>
      </c>
      <c r="D14" s="496">
        <f>margins!CI8-margins!CJ8</f>
        <v>99.406999999999996</v>
      </c>
      <c r="F14" s="62" t="s">
        <v>101</v>
      </c>
      <c r="G14" s="63">
        <f>101-2.5</f>
        <v>98.5</v>
      </c>
      <c r="I14" s="731"/>
      <c r="K14" s="481" t="s">
        <v>212</v>
      </c>
      <c r="L14" s="485" t="s">
        <v>28</v>
      </c>
      <c r="M14" s="489">
        <f>IFERROR(INDEX($C$42:$G$47,MATCH(L14,B42:B47,0),MATCH(L13,C41:G41,0),1),0)</f>
        <v>-1.625</v>
      </c>
    </row>
    <row r="15" spans="1:14" ht="15.75" thickBot="1">
      <c r="A15" s="496">
        <f>margins!$CF9</f>
        <v>6.75</v>
      </c>
      <c r="B15" s="496">
        <f>margins!CG9-margins!CJ9</f>
        <v>100.19499999999999</v>
      </c>
      <c r="C15" s="496">
        <f>margins!CH9-margins!CJ9</f>
        <v>100.095</v>
      </c>
      <c r="D15" s="496">
        <f>margins!CI9-margins!CJ9</f>
        <v>100.095</v>
      </c>
      <c r="G15" s="1"/>
      <c r="H15" s="1"/>
      <c r="I15" s="472"/>
      <c r="K15" s="481" t="s">
        <v>72</v>
      </c>
      <c r="L15" s="485" t="s">
        <v>203</v>
      </c>
      <c r="M15" s="489">
        <f>IFERROR(INDEX($C$51:$G$73,MATCH(L15,$B$51:$B$73,0),MATCH($L$13,$C$41:$G$41,0),1),0)</f>
        <v>0</v>
      </c>
    </row>
    <row r="16" spans="1:14">
      <c r="A16" s="496">
        <f>margins!$CF10</f>
        <v>6.875</v>
      </c>
      <c r="B16" s="496">
        <f>margins!CG10-margins!CJ10</f>
        <v>100.82</v>
      </c>
      <c r="C16" s="496">
        <f>margins!CH10-margins!CJ10</f>
        <v>100.72</v>
      </c>
      <c r="D16" s="496">
        <f>margins!CI10-margins!CJ10</f>
        <v>100.72</v>
      </c>
      <c r="F16" s="465" t="s">
        <v>103</v>
      </c>
      <c r="G16" s="466"/>
      <c r="H16" s="467"/>
      <c r="I16" s="470"/>
      <c r="K16" s="481" t="s">
        <v>213</v>
      </c>
      <c r="L16" s="485" t="s">
        <v>203</v>
      </c>
      <c r="M16" s="489">
        <f>IFERROR(INDEX($C$51:$G$73,MATCH(L16,$B$51:$B$73,0),MATCH($L$13,$C$41:$G$41,0),1),0)</f>
        <v>0</v>
      </c>
    </row>
    <row r="17" spans="1:13">
      <c r="A17" s="496">
        <f>margins!$CF11</f>
        <v>7</v>
      </c>
      <c r="B17" s="496">
        <f>margins!CG11-margins!CJ11</f>
        <v>101.476</v>
      </c>
      <c r="C17" s="496">
        <f>margins!CH11-margins!CJ11</f>
        <v>101.37599999999999</v>
      </c>
      <c r="D17" s="496">
        <f>margins!CI11-margins!CJ11</f>
        <v>101.37599999999999</v>
      </c>
      <c r="F17" s="2026" t="s">
        <v>281</v>
      </c>
      <c r="G17" s="2027"/>
      <c r="H17" s="2028"/>
      <c r="I17" s="470"/>
      <c r="K17" s="481" t="s">
        <v>47</v>
      </c>
      <c r="L17" s="485" t="s">
        <v>460</v>
      </c>
      <c r="M17" s="489">
        <f>IFERROR(INDEX($C$51:$G$73,MATCH(L17,$B$51:$B$73,0),MATCH($L$13,$C$41:$G$41,0),1),0)</f>
        <v>0</v>
      </c>
    </row>
    <row r="18" spans="1:13">
      <c r="A18" s="496">
        <f>margins!$CF12</f>
        <v>7.125</v>
      </c>
      <c r="B18" s="496">
        <f>margins!CG12-margins!CJ12</f>
        <v>102.164</v>
      </c>
      <c r="C18" s="496">
        <f>margins!CH12-margins!CJ12</f>
        <v>102.06399999999999</v>
      </c>
      <c r="D18" s="496">
        <f>margins!CI12-margins!CJ12</f>
        <v>102.06399999999999</v>
      </c>
      <c r="F18" s="2026" t="s">
        <v>705</v>
      </c>
      <c r="G18" s="2027"/>
      <c r="H18" s="2028"/>
      <c r="I18" s="470"/>
      <c r="K18" s="481" t="s">
        <v>56</v>
      </c>
      <c r="L18" s="485" t="s">
        <v>203</v>
      </c>
      <c r="M18" s="489">
        <f>IFERROR(INDEX($C$51:$G$73,MATCH(L18,$B$51:$B$73,0),MATCH($L$13,$C$41:$G$41,0),1),0)</f>
        <v>0</v>
      </c>
    </row>
    <row r="19" spans="1:13" ht="15" customHeight="1">
      <c r="A19" s="496">
        <f>margins!$CF13</f>
        <v>7.25</v>
      </c>
      <c r="B19" s="496">
        <f>margins!CG13-margins!CJ13</f>
        <v>102.82</v>
      </c>
      <c r="C19" s="496">
        <f>margins!CH13-margins!CJ13</f>
        <v>102.72</v>
      </c>
      <c r="D19" s="496">
        <f>margins!CI13-margins!CJ13</f>
        <v>102.72</v>
      </c>
      <c r="F19" s="2029" t="s">
        <v>353</v>
      </c>
      <c r="G19" s="2030"/>
      <c r="H19" s="2031"/>
      <c r="I19" s="470"/>
      <c r="K19" s="481" t="s">
        <v>141</v>
      </c>
      <c r="L19" s="485" t="s">
        <v>203</v>
      </c>
      <c r="M19" s="489">
        <f>IFERROR(INDEX($C$51:$G$73,MATCH(L19,$B$51:$B$73,0),MATCH($L$13,$C$41:$G$41,0),1),0)</f>
        <v>0</v>
      </c>
    </row>
    <row r="20" spans="1:13" ht="15.75" thickBot="1">
      <c r="A20" s="496">
        <f>margins!$CF14</f>
        <v>7.375</v>
      </c>
      <c r="B20" s="496">
        <f>margins!CG14-margins!CJ14</f>
        <v>103.477</v>
      </c>
      <c r="C20" s="496">
        <f>margins!CH14-margins!CJ14</f>
        <v>103.377</v>
      </c>
      <c r="D20" s="496">
        <f>margins!CI14-margins!CJ14</f>
        <v>103.377</v>
      </c>
      <c r="F20" s="2032"/>
      <c r="G20" s="2033"/>
      <c r="H20" s="2034"/>
      <c r="I20" s="470"/>
      <c r="K20" s="481" t="s">
        <v>215</v>
      </c>
      <c r="L20" s="485" t="s">
        <v>203</v>
      </c>
      <c r="M20" s="489">
        <f>IFERROR(INDEX($C$61:$G$66,MATCH(L20,B61:B66,0),MATCH($L$13,$C$41:$G$41,0),1),0)</f>
        <v>0</v>
      </c>
    </row>
    <row r="21" spans="1:13" ht="15.75" thickBot="1">
      <c r="A21" s="496">
        <f>margins!$CF15</f>
        <v>7.5</v>
      </c>
      <c r="B21" s="496">
        <f>margins!CG15-margins!CJ15</f>
        <v>104.008</v>
      </c>
      <c r="C21" s="496">
        <f>margins!CH15-margins!CJ15</f>
        <v>103.908</v>
      </c>
      <c r="D21" s="496">
        <f>margins!CI15-margins!CJ15</f>
        <v>103.908</v>
      </c>
      <c r="F21" s="908"/>
      <c r="G21" s="908"/>
      <c r="H21" s="908"/>
      <c r="I21" s="470"/>
      <c r="K21" s="481" t="s">
        <v>216</v>
      </c>
      <c r="L21" s="485" t="s">
        <v>203</v>
      </c>
      <c r="M21" s="489">
        <f>IFERROR(INDEX($C$67:$G$70,MATCH(L21,B67:B70,0),MATCH($L$13,$C$41:$G$41,0),1),0)</f>
        <v>0</v>
      </c>
    </row>
    <row r="22" spans="1:13">
      <c r="A22" s="496">
        <f>margins!$CF16</f>
        <v>7.625</v>
      </c>
      <c r="B22" s="496">
        <f>margins!CG16-margins!CJ16</f>
        <v>104.477</v>
      </c>
      <c r="C22" s="496">
        <f>margins!CH16-margins!CJ16</f>
        <v>104.377</v>
      </c>
      <c r="D22" s="496">
        <f>margins!CI16-margins!CJ16</f>
        <v>104.377</v>
      </c>
      <c r="F22" s="446" t="s">
        <v>104</v>
      </c>
      <c r="G22" s="447"/>
      <c r="H22" s="27"/>
      <c r="I22" s="470"/>
      <c r="K22" s="481" t="s">
        <v>69</v>
      </c>
      <c r="L22" s="485" t="s">
        <v>203</v>
      </c>
      <c r="M22" s="489">
        <f>IFERROR(INDEX($C$51:$G$73,MATCH(L22,$B$51:$B$73,0),MATCH($L$13,$C$41:$G$41,0),1),0)</f>
        <v>0</v>
      </c>
    </row>
    <row r="23" spans="1:13">
      <c r="A23" s="496">
        <f>margins!$CF17</f>
        <v>7.75</v>
      </c>
      <c r="B23" s="496">
        <f>margins!CG17-margins!CJ17</f>
        <v>104.91499999999999</v>
      </c>
      <c r="C23" s="496">
        <f>margins!CH17-margins!CJ17</f>
        <v>104.815</v>
      </c>
      <c r="D23" s="496">
        <f>margins!CI17-margins!CJ17</f>
        <v>104.815</v>
      </c>
      <c r="F23" s="79" t="s">
        <v>105</v>
      </c>
      <c r="G23" s="80" t="s">
        <v>106</v>
      </c>
      <c r="H23" s="1"/>
      <c r="I23" s="472"/>
      <c r="K23" s="481" t="s">
        <v>172</v>
      </c>
      <c r="L23" s="485" t="s">
        <v>203</v>
      </c>
      <c r="M23" s="489">
        <f>IFERROR(INDEX($C$51:$G$73,MATCH(L23,$B$51:$B$73,0),MATCH($L$13,$C$41:$G$41,0),1),0)</f>
        <v>0</v>
      </c>
    </row>
    <row r="24" spans="1:13">
      <c r="A24" s="496">
        <f>margins!$CF18</f>
        <v>7.875</v>
      </c>
      <c r="B24" s="496">
        <f>margins!CG18-margins!CJ18</f>
        <v>105.352</v>
      </c>
      <c r="C24" s="496">
        <f>margins!CH18-margins!CJ18</f>
        <v>105.252</v>
      </c>
      <c r="D24" s="496">
        <f>margins!CI18-margins!CJ18</f>
        <v>105.252</v>
      </c>
      <c r="F24" s="79" t="s">
        <v>107</v>
      </c>
      <c r="G24" s="451">
        <v>6.5</v>
      </c>
      <c r="I24" s="472"/>
      <c r="K24" s="481" t="s">
        <v>144</v>
      </c>
      <c r="L24" s="485" t="s">
        <v>203</v>
      </c>
      <c r="M24" s="489">
        <f>IFERROR(INDEX($C$51:$G$73,MATCH(L24,$B$51:$B$73,0),MATCH($L$13,$C$41:$G$41,0),1),0)</f>
        <v>0</v>
      </c>
    </row>
    <row r="25" spans="1:13">
      <c r="A25" s="496">
        <f>margins!$CF19</f>
        <v>8</v>
      </c>
      <c r="B25" s="496">
        <f>margins!CG19-margins!CJ19</f>
        <v>105.78999999999999</v>
      </c>
      <c r="C25" s="496">
        <f>margins!CH19-margins!CJ19</f>
        <v>105.69</v>
      </c>
      <c r="D25" s="496">
        <f>margins!CI19-margins!CJ19</f>
        <v>105.69</v>
      </c>
      <c r="F25" s="79" t="s">
        <v>282</v>
      </c>
      <c r="G25" s="452" t="s">
        <v>263</v>
      </c>
      <c r="I25" s="470"/>
      <c r="K25" s="481" t="s">
        <v>217</v>
      </c>
      <c r="L25" s="485">
        <v>45</v>
      </c>
      <c r="M25" s="489">
        <f>IF(L25=15,0,IF(L25=30,G29,IF(L25=45,G30,0)))</f>
        <v>-0.375</v>
      </c>
    </row>
    <row r="26" spans="1:13" ht="15.75" thickBot="1">
      <c r="A26" s="496">
        <f>margins!$CF20</f>
        <v>8.125</v>
      </c>
      <c r="B26" s="496">
        <f>margins!CG20-margins!CJ20</f>
        <v>106.227</v>
      </c>
      <c r="C26" s="496">
        <f>margins!CH20-margins!CJ20</f>
        <v>106.127</v>
      </c>
      <c r="D26" s="496">
        <f>margins!CI20-margins!CJ20</f>
        <v>106.127</v>
      </c>
      <c r="F26" s="84" t="s">
        <v>109</v>
      </c>
      <c r="G26" s="85" t="s">
        <v>110</v>
      </c>
      <c r="I26" s="470"/>
      <c r="K26" s="482" t="s">
        <v>218</v>
      </c>
      <c r="L26" s="486"/>
      <c r="M26" s="490">
        <f>M15+M16+M17+M18+M19+M20+M21+M22+M23+M25+M14+M24</f>
        <v>-2</v>
      </c>
    </row>
    <row r="27" spans="1:13" ht="15.75" thickBot="1">
      <c r="A27" s="496">
        <f>margins!$CF21</f>
        <v>8.25</v>
      </c>
      <c r="B27" s="496">
        <f>margins!CG21-margins!CJ21</f>
        <v>106.602</v>
      </c>
      <c r="C27" s="496">
        <f>margins!CH21-margins!CJ21</f>
        <v>106.502</v>
      </c>
      <c r="D27" s="496">
        <f>margins!CI21-margins!CJ21</f>
        <v>106.502</v>
      </c>
      <c r="G27" s="1"/>
      <c r="I27" s="470"/>
      <c r="K27" s="473"/>
      <c r="L27" s="474"/>
      <c r="M27" s="483"/>
    </row>
    <row r="28" spans="1:13" ht="15.75" thickBot="1">
      <c r="A28" s="496">
        <f>margins!$CF22</f>
        <v>8.375</v>
      </c>
      <c r="B28" s="496">
        <f>margins!CG22-margins!CJ22</f>
        <v>106.977</v>
      </c>
      <c r="C28" s="496">
        <f>margins!CH22-margins!CJ22</f>
        <v>106.877</v>
      </c>
      <c r="D28" s="496">
        <f>margins!CI22-margins!CJ22</f>
        <v>106.877</v>
      </c>
      <c r="F28" s="446" t="s">
        <v>111</v>
      </c>
      <c r="G28" s="447"/>
      <c r="I28" s="470"/>
      <c r="K28" s="475" t="s">
        <v>219</v>
      </c>
      <c r="L28" s="476"/>
      <c r="M28" s="491" t="e">
        <f>IF(ISNUMBER(MATCH("NA", M14:M25, 0)), "NA", IF(L20="Choose a Selection",(MIN(M26+M12,VLOOKUP($L$21,$E$9:$G$14,3,FALSE))),MIN(M26+M12,VLOOKUP($L$20,$F$9:$G$14,2,FALSE))))</f>
        <v>#N/A</v>
      </c>
    </row>
    <row r="29" spans="1:13" ht="15.75" thickBot="1">
      <c r="A29" s="496">
        <f>margins!$CF23</f>
        <v>8.5</v>
      </c>
      <c r="B29" s="496">
        <f>margins!CG23-margins!CJ23</f>
        <v>107.352</v>
      </c>
      <c r="C29" s="496">
        <f>margins!CH23-margins!CJ23</f>
        <v>107.252</v>
      </c>
      <c r="D29" s="496">
        <f>margins!CI23-margins!CJ23</f>
        <v>107.252</v>
      </c>
      <c r="F29" s="909" t="s">
        <v>112</v>
      </c>
      <c r="G29" s="910">
        <v>-0.25</v>
      </c>
      <c r="H29" s="1"/>
      <c r="I29" s="470"/>
      <c r="K29" s="470"/>
      <c r="L29" s="470"/>
      <c r="M29" s="470"/>
    </row>
    <row r="30" spans="1:13" ht="15.75" thickBot="1">
      <c r="A30" s="496">
        <f>margins!$CF24</f>
        <v>8.625</v>
      </c>
      <c r="B30" s="496">
        <f>margins!CG24-margins!CJ24</f>
        <v>107.727</v>
      </c>
      <c r="C30" s="496">
        <f>margins!CH24-margins!CJ24</f>
        <v>107.627</v>
      </c>
      <c r="D30" s="496">
        <f>margins!CI24-margins!CJ24</f>
        <v>107.627</v>
      </c>
      <c r="F30" s="84" t="s">
        <v>113</v>
      </c>
      <c r="G30" s="839">
        <v>-0.375</v>
      </c>
      <c r="I30" s="470"/>
      <c r="K30" s="849" t="s">
        <v>482</v>
      </c>
      <c r="L30" s="850"/>
      <c r="M30" s="851"/>
    </row>
    <row r="31" spans="1:13">
      <c r="A31" s="496">
        <f>margins!$CF25</f>
        <v>8.75</v>
      </c>
      <c r="B31" s="496">
        <f>margins!CG25-margins!CJ25</f>
        <v>108.102</v>
      </c>
      <c r="C31" s="496">
        <f>margins!CH25-margins!CJ25</f>
        <v>108.002</v>
      </c>
      <c r="D31" s="496">
        <f>margins!CI25-margins!CJ25</f>
        <v>108.002</v>
      </c>
      <c r="I31" s="470"/>
    </row>
    <row r="32" spans="1:13">
      <c r="A32" s="496">
        <f>margins!$CF26</f>
        <v>8.875</v>
      </c>
      <c r="B32" s="496">
        <f>margins!CG26-margins!CJ26</f>
        <v>108.41499999999999</v>
      </c>
      <c r="C32" s="496">
        <f>margins!CH26-margins!CJ26</f>
        <v>108.315</v>
      </c>
      <c r="D32" s="496">
        <f>margins!CI26-margins!CJ26</f>
        <v>108.315</v>
      </c>
      <c r="F32" s="2035"/>
      <c r="G32" s="2035"/>
      <c r="H32" s="2035"/>
      <c r="I32" s="2035"/>
    </row>
    <row r="33" spans="1:22">
      <c r="A33" s="496">
        <f>margins!$CF27</f>
        <v>9</v>
      </c>
      <c r="B33" s="496">
        <f>margins!CG27-margins!CJ27</f>
        <v>108.66499999999999</v>
      </c>
      <c r="C33" s="496">
        <f>margins!CH27-margins!CJ27</f>
        <v>108.565</v>
      </c>
      <c r="D33" s="496">
        <f>margins!CI27-margins!CJ27</f>
        <v>108.565</v>
      </c>
      <c r="F33" s="6"/>
      <c r="G33" s="879"/>
      <c r="J33" s="470"/>
    </row>
    <row r="34" spans="1:22">
      <c r="A34" s="496">
        <f>margins!$CF28</f>
        <v>9.125</v>
      </c>
      <c r="B34" s="496">
        <f>margins!CG28-margins!CJ28</f>
        <v>108.91499999999999</v>
      </c>
      <c r="C34" s="496">
        <f>margins!CH28-margins!CJ28</f>
        <v>108.815</v>
      </c>
      <c r="D34" s="496">
        <f>margins!CI28-margins!CJ28</f>
        <v>108.815</v>
      </c>
      <c r="F34" s="492"/>
      <c r="G34" s="879"/>
      <c r="J34" s="470"/>
      <c r="K34" s="470"/>
      <c r="L34" s="470"/>
      <c r="M34" s="470"/>
    </row>
    <row r="35" spans="1:22" ht="15" customHeight="1">
      <c r="A35" s="496">
        <f>margins!$CF29</f>
        <v>9.25</v>
      </c>
      <c r="B35" s="496">
        <f>margins!CG29-margins!CJ29</f>
        <v>109.16499999999999</v>
      </c>
      <c r="C35" s="496">
        <f>margins!CH29-margins!CJ29</f>
        <v>109.065</v>
      </c>
      <c r="D35" s="496">
        <f>margins!CI29-margins!CJ29</f>
        <v>109.065</v>
      </c>
      <c r="F35" s="837"/>
      <c r="G35" s="837"/>
      <c r="H35" s="837"/>
      <c r="I35" s="837"/>
      <c r="J35" s="470"/>
      <c r="K35" s="470"/>
      <c r="L35" s="470"/>
      <c r="M35" s="470"/>
    </row>
    <row r="36" spans="1:22">
      <c r="A36" s="496">
        <f>margins!$CF30</f>
        <v>9.375</v>
      </c>
      <c r="B36" s="496">
        <f>margins!CG30-margins!CJ30</f>
        <v>109.41499999999999</v>
      </c>
      <c r="C36" s="496">
        <f>margins!CH30-margins!CJ30</f>
        <v>109.315</v>
      </c>
      <c r="D36" s="496">
        <f>margins!CI30-margins!CJ30</f>
        <v>109.315</v>
      </c>
      <c r="F36" s="492"/>
      <c r="G36" s="879"/>
      <c r="H36" s="492"/>
      <c r="I36" s="879"/>
      <c r="J36" s="470"/>
      <c r="K36" s="470"/>
      <c r="L36" s="470"/>
      <c r="M36" s="470"/>
    </row>
    <row r="37" spans="1:22">
      <c r="A37" s="496">
        <f>margins!$CF31</f>
        <v>9.5</v>
      </c>
      <c r="B37" s="496">
        <f>margins!CG31-margins!CJ31</f>
        <v>109.66499999999999</v>
      </c>
      <c r="C37" s="496">
        <f>margins!CH31-margins!CJ31</f>
        <v>109.565</v>
      </c>
      <c r="D37" s="496">
        <f>margins!CI31-margins!CJ31</f>
        <v>109.565</v>
      </c>
      <c r="F37" s="492"/>
      <c r="G37" s="879"/>
      <c r="H37" s="492"/>
      <c r="I37" s="879"/>
      <c r="J37" s="470"/>
      <c r="K37" s="470"/>
      <c r="L37" s="470"/>
      <c r="M37" s="470"/>
    </row>
    <row r="38" spans="1:22">
      <c r="F38" s="492"/>
      <c r="G38" s="880"/>
      <c r="H38" s="492"/>
      <c r="I38" s="880"/>
      <c r="M38" s="470"/>
    </row>
    <row r="39" spans="1:22">
      <c r="F39" s="492"/>
      <c r="G39" s="879"/>
      <c r="H39" s="492"/>
      <c r="I39" s="879"/>
    </row>
    <row r="40" spans="1:22">
      <c r="A40" s="3" t="s">
        <v>458</v>
      </c>
      <c r="B40" s="3"/>
      <c r="C40" s="1"/>
      <c r="D40" s="1"/>
      <c r="E40" s="1"/>
      <c r="F40" s="20"/>
      <c r="G40" s="1"/>
      <c r="H40" s="21"/>
      <c r="I40" s="20"/>
      <c r="J40" s="469"/>
    </row>
    <row r="41" spans="1:22">
      <c r="A41" s="840"/>
      <c r="B41" s="468" t="s">
        <v>203</v>
      </c>
      <c r="C41" s="457" t="s">
        <v>15</v>
      </c>
      <c r="D41" s="457" t="s">
        <v>16</v>
      </c>
      <c r="E41" s="457" t="s">
        <v>17</v>
      </c>
      <c r="F41" s="457" t="s">
        <v>18</v>
      </c>
      <c r="G41" s="458" t="s">
        <v>19</v>
      </c>
      <c r="H41" s="58"/>
    </row>
    <row r="42" spans="1:22">
      <c r="A42" s="841"/>
      <c r="B42" s="459" t="s">
        <v>116</v>
      </c>
      <c r="C42" s="505">
        <v>1.5</v>
      </c>
      <c r="D42" s="503">
        <v>1.3749999999999998</v>
      </c>
      <c r="E42" s="503">
        <v>1.25</v>
      </c>
      <c r="F42" s="503">
        <v>0.875</v>
      </c>
      <c r="G42" s="504">
        <v>0.25</v>
      </c>
      <c r="H42" s="58"/>
      <c r="Q42" s="68"/>
      <c r="R42" s="68"/>
      <c r="S42" s="68"/>
      <c r="T42" s="68"/>
      <c r="U42" s="68"/>
      <c r="V42" s="68"/>
    </row>
    <row r="43" spans="1:22">
      <c r="A43" s="841"/>
      <c r="B43" s="459" t="s">
        <v>24</v>
      </c>
      <c r="C43" s="506">
        <v>1.5</v>
      </c>
      <c r="D43" s="104">
        <v>1.3749999999999998</v>
      </c>
      <c r="E43" s="104">
        <v>1.125</v>
      </c>
      <c r="F43" s="104">
        <v>0.75</v>
      </c>
      <c r="G43" s="502">
        <v>-1.1102230246251565E-16</v>
      </c>
      <c r="H43" s="58"/>
      <c r="Q43" s="68"/>
      <c r="R43" s="68"/>
      <c r="S43" s="68"/>
      <c r="T43" s="68"/>
      <c r="U43" s="68"/>
      <c r="V43" s="68"/>
    </row>
    <row r="44" spans="1:22">
      <c r="A44" s="841"/>
      <c r="B44" s="459" t="s">
        <v>25</v>
      </c>
      <c r="C44" s="507">
        <v>1.25</v>
      </c>
      <c r="D44" s="103">
        <v>1.1249999999999998</v>
      </c>
      <c r="E44" s="103">
        <v>0.875</v>
      </c>
      <c r="F44" s="103">
        <v>0.5</v>
      </c>
      <c r="G44" s="501">
        <v>-0.25</v>
      </c>
      <c r="H44" s="58"/>
      <c r="Q44" s="68"/>
      <c r="R44" s="68"/>
      <c r="S44" s="68"/>
      <c r="T44" s="68"/>
      <c r="U44" s="68"/>
      <c r="V44" s="68"/>
    </row>
    <row r="45" spans="1:22">
      <c r="A45" s="126" t="s">
        <v>114</v>
      </c>
      <c r="B45" s="459" t="s">
        <v>26</v>
      </c>
      <c r="C45" s="506">
        <v>0.87499999999999989</v>
      </c>
      <c r="D45" s="104">
        <v>0.75</v>
      </c>
      <c r="E45" s="104">
        <v>0.37499999999999978</v>
      </c>
      <c r="F45" s="104">
        <v>-0.125</v>
      </c>
      <c r="G45" s="502">
        <v>-1</v>
      </c>
      <c r="H45" s="58"/>
      <c r="Q45" s="68"/>
      <c r="R45" s="68"/>
      <c r="S45" s="68"/>
      <c r="T45" s="68"/>
      <c r="U45" s="68"/>
      <c r="V45" s="68"/>
    </row>
    <row r="46" spans="1:22">
      <c r="A46" s="126" t="s">
        <v>478</v>
      </c>
      <c r="B46" s="459" t="s">
        <v>27</v>
      </c>
      <c r="C46" s="507">
        <v>0.49999999999999989</v>
      </c>
      <c r="D46" s="103">
        <v>0.12499999999999989</v>
      </c>
      <c r="E46" s="103">
        <v>-0.12500000000000011</v>
      </c>
      <c r="F46" s="103">
        <v>-0.625</v>
      </c>
      <c r="G46" s="501" t="s">
        <v>14</v>
      </c>
      <c r="H46" s="58"/>
      <c r="Q46" s="68"/>
      <c r="R46" s="68"/>
      <c r="S46" s="68"/>
      <c r="T46" s="68"/>
      <c r="U46" s="68"/>
      <c r="V46" s="68"/>
    </row>
    <row r="47" spans="1:22">
      <c r="A47" s="842"/>
      <c r="B47" s="460" t="s">
        <v>28</v>
      </c>
      <c r="C47" s="730">
        <v>0</v>
      </c>
      <c r="D47" s="499">
        <v>-0.375</v>
      </c>
      <c r="E47" s="499">
        <v>-0.875</v>
      </c>
      <c r="F47" s="499">
        <v>-1.625</v>
      </c>
      <c r="G47" s="500" t="s">
        <v>14</v>
      </c>
      <c r="H47" s="58"/>
      <c r="Q47" s="68"/>
      <c r="R47" s="68"/>
      <c r="S47" s="68"/>
      <c r="T47" s="68"/>
      <c r="U47" s="68"/>
      <c r="V47" s="68"/>
    </row>
    <row r="48" spans="1:22">
      <c r="A48" s="461"/>
      <c r="B48" s="469" t="s">
        <v>203</v>
      </c>
    </row>
    <row r="49" spans="1:8">
      <c r="A49" s="3" t="s">
        <v>121</v>
      </c>
      <c r="H49" s="877"/>
    </row>
    <row r="50" spans="1:8">
      <c r="A50" s="64"/>
      <c r="B50" s="102" t="s">
        <v>329</v>
      </c>
      <c r="C50" s="457" t="s">
        <v>15</v>
      </c>
      <c r="D50" s="457" t="s">
        <v>16</v>
      </c>
      <c r="E50" s="457" t="s">
        <v>17</v>
      </c>
      <c r="F50" s="457" t="s">
        <v>18</v>
      </c>
      <c r="G50" s="458" t="s">
        <v>19</v>
      </c>
      <c r="H50" s="58"/>
    </row>
    <row r="51" spans="1:8">
      <c r="A51" s="462" t="s">
        <v>72</v>
      </c>
      <c r="B51" s="66" t="s">
        <v>74</v>
      </c>
      <c r="C51" s="824">
        <v>-0.25</v>
      </c>
      <c r="D51" s="824">
        <v>-0.25</v>
      </c>
      <c r="E51" s="824">
        <v>-0.25</v>
      </c>
      <c r="F51" s="824">
        <v>-0.25</v>
      </c>
      <c r="G51" s="825">
        <v>-0.25</v>
      </c>
      <c r="H51" s="58"/>
    </row>
    <row r="52" spans="1:8" ht="17.25" customHeight="1">
      <c r="A52" s="922" t="s">
        <v>168</v>
      </c>
      <c r="B52" s="875" t="s">
        <v>77</v>
      </c>
      <c r="C52" s="106">
        <v>0</v>
      </c>
      <c r="D52" s="106">
        <v>0</v>
      </c>
      <c r="E52" s="106">
        <v>0</v>
      </c>
      <c r="F52" s="106">
        <v>0</v>
      </c>
      <c r="G52" s="876">
        <v>0</v>
      </c>
      <c r="H52" s="58"/>
    </row>
    <row r="53" spans="1:8">
      <c r="A53" s="843"/>
      <c r="B53" s="826" t="s">
        <v>481</v>
      </c>
      <c r="C53" s="108">
        <v>0</v>
      </c>
      <c r="D53" s="108">
        <v>0</v>
      </c>
      <c r="E53" s="108">
        <v>0</v>
      </c>
      <c r="F53" s="108">
        <v>0</v>
      </c>
      <c r="G53" s="827">
        <v>0</v>
      </c>
      <c r="H53" s="58"/>
    </row>
    <row r="54" spans="1:8">
      <c r="A54" s="843"/>
      <c r="B54" s="829" t="s">
        <v>132</v>
      </c>
      <c r="C54" s="108">
        <v>0</v>
      </c>
      <c r="D54" s="108">
        <v>0</v>
      </c>
      <c r="E54" s="108">
        <v>0</v>
      </c>
      <c r="F54" s="108">
        <v>0</v>
      </c>
      <c r="G54" s="827">
        <v>0</v>
      </c>
      <c r="H54" s="58"/>
    </row>
    <row r="55" spans="1:8">
      <c r="A55" s="835" t="s">
        <v>47</v>
      </c>
      <c r="B55" s="829" t="s">
        <v>133</v>
      </c>
      <c r="C55" s="108">
        <v>0</v>
      </c>
      <c r="D55" s="108">
        <v>0</v>
      </c>
      <c r="E55" s="108">
        <v>0</v>
      </c>
      <c r="F55" s="108">
        <v>0</v>
      </c>
      <c r="G55" s="827">
        <v>0</v>
      </c>
      <c r="H55" s="58"/>
    </row>
    <row r="56" spans="1:8">
      <c r="A56" s="843"/>
      <c r="B56" s="829" t="s">
        <v>134</v>
      </c>
      <c r="C56" s="108">
        <v>0</v>
      </c>
      <c r="D56" s="108">
        <v>0</v>
      </c>
      <c r="E56" s="108">
        <v>0</v>
      </c>
      <c r="F56" s="108">
        <v>0</v>
      </c>
      <c r="G56" s="827">
        <v>0</v>
      </c>
      <c r="H56" s="58"/>
    </row>
    <row r="57" spans="1:8">
      <c r="A57" s="843"/>
      <c r="B57" s="829" t="s">
        <v>135</v>
      </c>
      <c r="C57" s="108">
        <v>0</v>
      </c>
      <c r="D57" s="108">
        <v>0</v>
      </c>
      <c r="E57" s="108">
        <v>0</v>
      </c>
      <c r="F57" s="108">
        <v>0</v>
      </c>
      <c r="G57" s="827">
        <v>0</v>
      </c>
      <c r="H57" s="58"/>
    </row>
    <row r="58" spans="1:8">
      <c r="A58" s="843"/>
      <c r="B58" s="830" t="s">
        <v>136</v>
      </c>
      <c r="C58" s="110">
        <v>0</v>
      </c>
      <c r="D58" s="110">
        <v>0</v>
      </c>
      <c r="E58" s="110">
        <v>0</v>
      </c>
      <c r="F58" s="110">
        <v>0</v>
      </c>
      <c r="G58" s="828">
        <v>0</v>
      </c>
      <c r="H58" s="58"/>
    </row>
    <row r="59" spans="1:8">
      <c r="A59" s="918" t="s">
        <v>56</v>
      </c>
      <c r="B59" s="919" t="s">
        <v>506</v>
      </c>
      <c r="C59" s="920">
        <v>-0.375</v>
      </c>
      <c r="D59" s="920">
        <v>-0.375</v>
      </c>
      <c r="E59" s="920">
        <v>-0.375</v>
      </c>
      <c r="F59" s="920">
        <v>-0.5</v>
      </c>
      <c r="G59" s="921" t="s">
        <v>14</v>
      </c>
      <c r="H59" s="58"/>
    </row>
    <row r="60" spans="1:8">
      <c r="A60" s="917" t="s">
        <v>65</v>
      </c>
      <c r="B60" s="826" t="s">
        <v>141</v>
      </c>
      <c r="C60" s="108">
        <v>-0.5</v>
      </c>
      <c r="D60" s="108">
        <v>-0.5</v>
      </c>
      <c r="E60" s="108">
        <v>-0.5</v>
      </c>
      <c r="F60" s="108">
        <v>-0.5</v>
      </c>
      <c r="G60" s="827">
        <v>-0.625</v>
      </c>
      <c r="H60" s="58"/>
    </row>
    <row r="61" spans="1:8">
      <c r="A61" s="463"/>
      <c r="B61" s="831" t="s">
        <v>99</v>
      </c>
      <c r="C61" s="112">
        <v>1</v>
      </c>
      <c r="D61" s="112">
        <v>1</v>
      </c>
      <c r="E61" s="112">
        <v>1</v>
      </c>
      <c r="F61" s="112">
        <v>1</v>
      </c>
      <c r="G61" s="832">
        <v>1.125</v>
      </c>
      <c r="H61" s="58"/>
    </row>
    <row r="62" spans="1:8">
      <c r="A62" s="464" t="s">
        <v>142</v>
      </c>
      <c r="B62" s="826" t="s">
        <v>100</v>
      </c>
      <c r="C62" s="108">
        <v>0.75</v>
      </c>
      <c r="D62" s="108">
        <v>0.75</v>
      </c>
      <c r="E62" s="108">
        <v>0.75</v>
      </c>
      <c r="F62" s="108">
        <v>0.75</v>
      </c>
      <c r="G62" s="827">
        <v>0.875</v>
      </c>
      <c r="H62" s="58"/>
    </row>
    <row r="63" spans="1:8">
      <c r="A63" s="463" t="s">
        <v>143</v>
      </c>
      <c r="B63" s="826" t="s">
        <v>7</v>
      </c>
      <c r="C63" s="108">
        <v>0.25</v>
      </c>
      <c r="D63" s="108">
        <v>0.25</v>
      </c>
      <c r="E63" s="108">
        <v>0.25</v>
      </c>
      <c r="F63" s="108">
        <v>0.25</v>
      </c>
      <c r="G63" s="827">
        <v>0.25</v>
      </c>
      <c r="H63" s="58"/>
    </row>
    <row r="64" spans="1:8">
      <c r="A64" s="463" t="s">
        <v>480</v>
      </c>
      <c r="B64" s="826" t="s">
        <v>9</v>
      </c>
      <c r="C64" s="108">
        <v>-0.375</v>
      </c>
      <c r="D64" s="108">
        <v>-0.375</v>
      </c>
      <c r="E64" s="108">
        <v>-0.375</v>
      </c>
      <c r="F64" s="108">
        <v>-0.375</v>
      </c>
      <c r="G64" s="827">
        <v>-0.5</v>
      </c>
      <c r="H64" s="58"/>
    </row>
    <row r="65" spans="1:8">
      <c r="A65" s="463"/>
      <c r="B65" s="826" t="s">
        <v>11</v>
      </c>
      <c r="C65" s="108">
        <v>-1.125</v>
      </c>
      <c r="D65" s="108">
        <v>-1.125</v>
      </c>
      <c r="E65" s="108">
        <v>-1.375</v>
      </c>
      <c r="F65" s="108">
        <v>-1.375</v>
      </c>
      <c r="G65" s="827">
        <v>-1.6250000000000002</v>
      </c>
      <c r="H65" s="58"/>
    </row>
    <row r="66" spans="1:8">
      <c r="A66" s="487"/>
      <c r="B66" s="67" t="s">
        <v>101</v>
      </c>
      <c r="C66" s="110">
        <v>-1.7500000000000002</v>
      </c>
      <c r="D66" s="110">
        <v>-1.7500000000000002</v>
      </c>
      <c r="E66" s="110">
        <v>-2</v>
      </c>
      <c r="F66" s="110">
        <v>-2</v>
      </c>
      <c r="G66" s="828">
        <v>-2.25</v>
      </c>
      <c r="H66" s="58"/>
    </row>
    <row r="67" spans="1:8">
      <c r="A67" s="1806" t="s">
        <v>479</v>
      </c>
      <c r="B67" s="833" t="s">
        <v>195</v>
      </c>
      <c r="C67" s="108">
        <v>0.75</v>
      </c>
      <c r="D67" s="108">
        <v>0.75</v>
      </c>
      <c r="E67" s="108">
        <v>0.75</v>
      </c>
      <c r="F67" s="108">
        <v>0.75</v>
      </c>
      <c r="G67" s="827">
        <v>0.875</v>
      </c>
      <c r="H67" s="58"/>
    </row>
    <row r="68" spans="1:8">
      <c r="A68" s="1807"/>
      <c r="B68" s="833" t="s">
        <v>196</v>
      </c>
      <c r="C68" s="108">
        <v>0.5</v>
      </c>
      <c r="D68" s="108">
        <v>0.5</v>
      </c>
      <c r="E68" s="108">
        <v>0.5</v>
      </c>
      <c r="F68" s="108">
        <v>0.5</v>
      </c>
      <c r="G68" s="827">
        <v>0.625</v>
      </c>
      <c r="H68" s="58"/>
    </row>
    <row r="69" spans="1:8">
      <c r="A69" s="1807"/>
      <c r="B69" s="833" t="s">
        <v>197</v>
      </c>
      <c r="C69" s="108">
        <v>0</v>
      </c>
      <c r="D69" s="108">
        <v>0</v>
      </c>
      <c r="E69" s="108">
        <v>0</v>
      </c>
      <c r="F69" s="108">
        <v>0</v>
      </c>
      <c r="G69" s="827">
        <v>0</v>
      </c>
      <c r="H69" s="58"/>
    </row>
    <row r="70" spans="1:8">
      <c r="A70" s="1808"/>
      <c r="B70" s="834" t="s">
        <v>198</v>
      </c>
      <c r="C70" s="110">
        <v>-0.375</v>
      </c>
      <c r="D70" s="110">
        <v>-0.375</v>
      </c>
      <c r="E70" s="110">
        <v>-0.375</v>
      </c>
      <c r="F70" s="110">
        <v>-0.375</v>
      </c>
      <c r="G70" s="828">
        <v>-0.5</v>
      </c>
      <c r="H70" s="58"/>
    </row>
    <row r="71" spans="1:8">
      <c r="A71" s="498" t="s">
        <v>68</v>
      </c>
      <c r="B71" s="831" t="s">
        <v>69</v>
      </c>
      <c r="C71" s="112" t="s">
        <v>14</v>
      </c>
      <c r="D71" s="112" t="s">
        <v>14</v>
      </c>
      <c r="E71" s="112" t="s">
        <v>14</v>
      </c>
      <c r="F71" s="112" t="s">
        <v>14</v>
      </c>
      <c r="G71" s="832" t="s">
        <v>14</v>
      </c>
      <c r="H71" s="58"/>
    </row>
    <row r="72" spans="1:8">
      <c r="A72" s="497"/>
      <c r="B72" s="67" t="s">
        <v>172</v>
      </c>
      <c r="C72" s="110">
        <v>-0.25</v>
      </c>
      <c r="D72" s="110">
        <v>-0.25</v>
      </c>
      <c r="E72" s="110">
        <v>-0.25</v>
      </c>
      <c r="F72" s="110">
        <v>-0.25</v>
      </c>
      <c r="G72" s="828">
        <v>-0.25</v>
      </c>
    </row>
    <row r="73" spans="1:8">
      <c r="A73" s="497" t="s">
        <v>339</v>
      </c>
      <c r="B73" s="67" t="s">
        <v>144</v>
      </c>
      <c r="C73" s="110">
        <v>-2.25</v>
      </c>
      <c r="D73" s="110">
        <v>-2.25</v>
      </c>
      <c r="E73" s="110">
        <v>-2.375</v>
      </c>
      <c r="F73" s="110">
        <v>-2.375</v>
      </c>
      <c r="G73" s="828" t="s">
        <v>14</v>
      </c>
    </row>
  </sheetData>
  <mergeCells count="7">
    <mergeCell ref="A67:A70"/>
    <mergeCell ref="C2:I2"/>
    <mergeCell ref="B7:D7"/>
    <mergeCell ref="F17:H17"/>
    <mergeCell ref="F18:H18"/>
    <mergeCell ref="F19:H20"/>
    <mergeCell ref="F32:I32"/>
  </mergeCells>
  <dataValidations disablePrompts="1"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3DD19262-BEAA-411E-855C-6461FB1C4FC8}">
          <x14:formula1>
            <xm:f>margins!$AT$153:$AT$154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margins!$AT$117:$AT$123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margins!$C$119:$C$122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margins!$AT$141:$AT$145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margins!$AT$126:$AT$128</xm:f>
          </x14:formula1>
          <xm:sqref>L18</xm:sqref>
        </x14:dataValidation>
        <x14:dataValidation type="list" allowBlank="1" showInputMessage="1" showErrorMessage="1" xr:uid="{1127E663-A991-4762-8E22-50CFDD1FFED2}">
          <x14:formula1>
            <xm:f>margins!$A$119:$A$120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margins!$A$116:$A$117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margins!$A$141:$A$142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margins!$A$144:$A$150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margins!$A$180:$A$181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margins!$A$152:$A$153</xm:f>
          </x14:formula1>
          <xm:sqref>L22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23.85546875" style="1057" customWidth="1"/>
    <col min="3" max="3" width="9.140625" style="1057" bestFit="1" customWidth="1"/>
    <col min="4" max="4" width="13.7109375" style="1057" customWidth="1"/>
    <col min="5" max="5" width="13.85546875" style="1057" customWidth="1"/>
    <col min="6" max="6" width="13.7109375" style="1057" customWidth="1"/>
    <col min="7" max="7" width="16.42578125" style="1057" bestFit="1" customWidth="1"/>
    <col min="8" max="8" width="19.42578125" style="1057" customWidth="1"/>
    <col min="9" max="9" width="13.7109375" style="1057" customWidth="1"/>
    <col min="10" max="10" width="16.5703125" style="1057" customWidth="1"/>
    <col min="11" max="11" width="16.42578125" style="1057" customWidth="1"/>
    <col min="12" max="12" width="13.7109375" style="1057" customWidth="1"/>
    <col min="13" max="13" width="5" style="1057" customWidth="1"/>
    <col min="14" max="14" width="9.140625" style="1056"/>
    <col min="15" max="15" width="19.85546875" style="1056" customWidth="1"/>
    <col min="16" max="16" width="20" style="1056" customWidth="1"/>
    <col min="17" max="17" width="17.42578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9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6">
        <f ca="1">NOW()</f>
        <v>45978.399704166666</v>
      </c>
      <c r="L2" s="1756"/>
      <c r="M2" s="1478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5" t="s">
        <v>648</v>
      </c>
      <c r="L3" s="1755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2"/>
      <c r="L4" s="1462"/>
      <c r="M4" s="1470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7"/>
      <c r="L5" s="1462" t="s">
        <v>182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70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70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1"/>
    </row>
    <row r="10" spans="1:17" s="1057" customFormat="1" ht="14.25" customHeight="1">
      <c r="A10" s="1757" t="s">
        <v>468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9"/>
      <c r="O10" s="1717" t="s">
        <v>473</v>
      </c>
      <c r="P10" s="1718"/>
      <c r="Q10" s="1718"/>
    </row>
    <row r="11" spans="1:17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2"/>
      <c r="O11" s="471"/>
      <c r="P11" s="471"/>
      <c r="Q11" s="471"/>
    </row>
    <row r="12" spans="1:17" s="1057" customFormat="1" ht="15.75" thickBot="1">
      <c r="A12" s="1265"/>
      <c r="B12" s="1263"/>
      <c r="C12" s="1743" t="s">
        <v>476</v>
      </c>
      <c r="D12" s="1744"/>
      <c r="E12" s="1745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61" t="s">
        <v>13</v>
      </c>
      <c r="D13" s="1430" t="s">
        <v>88</v>
      </c>
      <c r="E13" s="1482" t="s">
        <v>647</v>
      </c>
      <c r="G13" s="1202" t="s">
        <v>646</v>
      </c>
      <c r="H13" s="1201"/>
      <c r="I13" s="1062"/>
      <c r="J13" s="1202" t="s">
        <v>111</v>
      </c>
      <c r="K13" s="1"/>
      <c r="L13" s="1"/>
      <c r="M13" s="1061"/>
      <c r="O13" s="471"/>
      <c r="P13" s="471"/>
      <c r="Q13" s="471"/>
    </row>
    <row r="14" spans="1:17" s="1057" customFormat="1">
      <c r="A14" s="1250"/>
      <c r="B14" s="1480">
        <f>margins!$CF3</f>
        <v>6</v>
      </c>
      <c r="C14" s="1483">
        <f>margins!CG3-margins!CJ3</f>
        <v>95.506999999999991</v>
      </c>
      <c r="D14" s="1481">
        <f>margins!CH3-margins!CJ3</f>
        <v>95.406999999999996</v>
      </c>
      <c r="E14" s="1485">
        <f>margins!CI3-margins!CJ3</f>
        <v>95.406999999999996</v>
      </c>
      <c r="G14" s="1233" t="s">
        <v>97</v>
      </c>
      <c r="H14" s="1467" t="s">
        <v>6</v>
      </c>
      <c r="I14" s="1062"/>
      <c r="J14" s="1521" t="s">
        <v>644</v>
      </c>
      <c r="K14" s="1256">
        <v>-0.25</v>
      </c>
      <c r="M14" s="1061"/>
      <c r="O14" s="480" t="s">
        <v>210</v>
      </c>
      <c r="P14" s="484" t="s">
        <v>204</v>
      </c>
      <c r="Q14" s="488"/>
    </row>
    <row r="15" spans="1:17" s="1057" customFormat="1" ht="15.75" thickBot="1">
      <c r="A15" s="1250"/>
      <c r="B15" s="1480">
        <f>margins!$CF4</f>
        <v>6.125</v>
      </c>
      <c r="C15" s="1483">
        <f>margins!CG4-margins!CJ4</f>
        <v>96.506999999999991</v>
      </c>
      <c r="D15" s="1481">
        <f>margins!CH4-margins!CJ4</f>
        <v>96.406999999999996</v>
      </c>
      <c r="E15" s="1485">
        <f>margins!CI4-margins!CJ4</f>
        <v>96.406999999999996</v>
      </c>
      <c r="F15" s="1527" t="s">
        <v>195</v>
      </c>
      <c r="G15" s="1459" t="s">
        <v>99</v>
      </c>
      <c r="H15" s="1255">
        <v>101</v>
      </c>
      <c r="I15" s="1062"/>
      <c r="J15" s="1522" t="s">
        <v>643</v>
      </c>
      <c r="K15" s="1258">
        <v>-0.375</v>
      </c>
      <c r="M15" s="1061"/>
      <c r="O15" s="481" t="s">
        <v>211</v>
      </c>
      <c r="P15" s="485">
        <v>7.875</v>
      </c>
      <c r="Q15" s="489">
        <f>IF(P14="7/6 Arm",VLOOKUP(P15,$B$14:$E$42,2,FALSE),IF(P14="10/6 Arm",VLOOKUP(P15,$B$14:$E$42,3,FALSE),VLOOKUP(P15,$B$14:$E$42,4,FALSE)))</f>
        <v>105.352</v>
      </c>
    </row>
    <row r="16" spans="1:17" s="1057" customFormat="1">
      <c r="A16" s="1250"/>
      <c r="B16" s="1480">
        <f>margins!$CF5</f>
        <v>6.25</v>
      </c>
      <c r="C16" s="1483">
        <f>margins!CG5-margins!CJ5</f>
        <v>97.381999999999991</v>
      </c>
      <c r="D16" s="1481">
        <f>margins!CH5-margins!CJ5</f>
        <v>97.281999999999996</v>
      </c>
      <c r="E16" s="1485">
        <f>margins!CI5-margins!CJ5</f>
        <v>97.281999999999996</v>
      </c>
      <c r="F16" s="1527" t="s">
        <v>196</v>
      </c>
      <c r="G16" s="1459" t="s">
        <v>100</v>
      </c>
      <c r="H16" s="1255">
        <v>101</v>
      </c>
      <c r="I16" s="1062"/>
      <c r="M16" s="1061"/>
      <c r="O16" s="481" t="s">
        <v>386</v>
      </c>
      <c r="P16" s="485" t="s">
        <v>18</v>
      </c>
      <c r="Q16" s="489"/>
    </row>
    <row r="17" spans="1:17" s="1057" customFormat="1">
      <c r="A17" s="1250"/>
      <c r="B17" s="1480">
        <f>margins!$CF6</f>
        <v>6.375</v>
      </c>
      <c r="C17" s="1483">
        <f>margins!CG6-margins!CJ6</f>
        <v>98.131999999999991</v>
      </c>
      <c r="D17" s="1481">
        <f>margins!CH6-margins!CJ6</f>
        <v>98.031999999999996</v>
      </c>
      <c r="E17" s="1485">
        <f>margins!CI6-margins!CJ6</f>
        <v>98.031999999999996</v>
      </c>
      <c r="F17" s="1527" t="s">
        <v>197</v>
      </c>
      <c r="G17" s="1459" t="s">
        <v>7</v>
      </c>
      <c r="H17" s="1255">
        <v>101</v>
      </c>
      <c r="I17" s="1062"/>
      <c r="M17" s="1070"/>
      <c r="O17" s="481" t="s">
        <v>212</v>
      </c>
      <c r="P17" s="485" t="s">
        <v>28</v>
      </c>
      <c r="Q17" s="489">
        <f>IFERROR(INDEX($E$47:$I$52,MATCH(P17,C47:C52,0),MATCH(P16,E46:I46,0),1),0)</f>
        <v>0</v>
      </c>
    </row>
    <row r="18" spans="1:17" s="1057" customFormat="1" ht="15" customHeight="1" thickBot="1">
      <c r="A18" s="1250"/>
      <c r="B18" s="1480">
        <f>margins!$CF7</f>
        <v>6.5</v>
      </c>
      <c r="C18" s="1483">
        <f>margins!CG7-margins!CJ7</f>
        <v>98.82</v>
      </c>
      <c r="D18" s="1481">
        <f>margins!CH7-margins!CJ7</f>
        <v>98.72</v>
      </c>
      <c r="E18" s="1485">
        <f>margins!CI7-margins!CJ7</f>
        <v>98.72</v>
      </c>
      <c r="F18" s="1527" t="s">
        <v>198</v>
      </c>
      <c r="G18" s="1459" t="s">
        <v>9</v>
      </c>
      <c r="H18" s="1255">
        <v>101</v>
      </c>
      <c r="I18" s="1062"/>
      <c r="J18" s="1202" t="s">
        <v>641</v>
      </c>
      <c r="K18" s="1201"/>
      <c r="L18" s="1201"/>
      <c r="M18" s="1061"/>
      <c r="O18" s="481" t="s">
        <v>72</v>
      </c>
      <c r="P18" s="485" t="s">
        <v>203</v>
      </c>
      <c r="Q18" s="489">
        <f t="shared" ref="Q18:Q27" si="0">IFERROR(INDEX($E$56:$I$78,MATCH(P18,$C$56:$C$78,0),MATCH($P$16,$E$55:$I$55,0),1),0)</f>
        <v>0</v>
      </c>
    </row>
    <row r="19" spans="1:17" s="1057" customFormat="1">
      <c r="A19" s="1250"/>
      <c r="B19" s="1480">
        <f>margins!$CF8</f>
        <v>6.625</v>
      </c>
      <c r="C19" s="1483">
        <f>margins!CG8-margins!CJ8</f>
        <v>99.506999999999991</v>
      </c>
      <c r="D19" s="1481">
        <f>margins!CH8-margins!CJ8</f>
        <v>99.406999999999996</v>
      </c>
      <c r="E19" s="1485">
        <f>margins!CI8-margins!CJ8</f>
        <v>99.406999999999996</v>
      </c>
      <c r="G19" s="1459" t="s">
        <v>11</v>
      </c>
      <c r="H19" s="1255">
        <v>100</v>
      </c>
      <c r="I19" s="1062"/>
      <c r="J19" s="1846" t="s">
        <v>148</v>
      </c>
      <c r="K19" s="1847"/>
      <c r="L19" s="1848"/>
      <c r="M19" s="1061"/>
      <c r="O19" s="481" t="s">
        <v>213</v>
      </c>
      <c r="P19" s="485" t="s">
        <v>203</v>
      </c>
      <c r="Q19" s="489">
        <f t="shared" si="0"/>
        <v>0</v>
      </c>
    </row>
    <row r="20" spans="1:17" s="1057" customFormat="1" ht="15.75" thickBot="1">
      <c r="A20" s="1250"/>
      <c r="B20" s="1480">
        <f>margins!$CF9</f>
        <v>6.75</v>
      </c>
      <c r="C20" s="1483">
        <f>margins!CG9-margins!CJ9</f>
        <v>100.19499999999999</v>
      </c>
      <c r="D20" s="1481">
        <f>margins!CH9-margins!CJ9</f>
        <v>100.095</v>
      </c>
      <c r="E20" s="1485">
        <f>margins!CI9-margins!CJ9</f>
        <v>100.095</v>
      </c>
      <c r="F20" s="1062"/>
      <c r="G20" s="1460" t="s">
        <v>101</v>
      </c>
      <c r="H20" s="1254">
        <v>98.5</v>
      </c>
      <c r="I20" s="1062"/>
      <c r="J20" s="1834"/>
      <c r="K20" s="1835"/>
      <c r="L20" s="1836"/>
      <c r="M20" s="1061"/>
      <c r="O20" s="481" t="s">
        <v>47</v>
      </c>
      <c r="P20" s="485" t="s">
        <v>460</v>
      </c>
      <c r="Q20" s="489">
        <f t="shared" si="0"/>
        <v>0</v>
      </c>
    </row>
    <row r="21" spans="1:17" s="1057" customFormat="1">
      <c r="A21" s="1250"/>
      <c r="B21" s="1480">
        <f>margins!$CF10</f>
        <v>6.875</v>
      </c>
      <c r="C21" s="1483">
        <f>margins!CG10-margins!CJ10</f>
        <v>100.82</v>
      </c>
      <c r="D21" s="1481">
        <f>margins!CH10-margins!CJ10</f>
        <v>100.72</v>
      </c>
      <c r="E21" s="1485">
        <f>margins!CI10-margins!CJ10</f>
        <v>100.72</v>
      </c>
      <c r="F21" s="1062"/>
      <c r="G21" s="1251"/>
      <c r="H21" s="1205"/>
      <c r="I21" s="1062"/>
      <c r="J21" s="1834" t="s">
        <v>746</v>
      </c>
      <c r="K21" s="1835"/>
      <c r="L21" s="1836"/>
      <c r="M21" s="1061"/>
      <c r="O21" s="481" t="s">
        <v>56</v>
      </c>
      <c r="P21" s="485" t="s">
        <v>203</v>
      </c>
      <c r="Q21" s="489">
        <f t="shared" si="0"/>
        <v>0</v>
      </c>
    </row>
    <row r="22" spans="1:17" s="1057" customFormat="1">
      <c r="A22" s="1250"/>
      <c r="B22" s="1480">
        <f>margins!$CF11</f>
        <v>7</v>
      </c>
      <c r="C22" s="1483">
        <f>margins!CG11-margins!CJ11</f>
        <v>101.476</v>
      </c>
      <c r="D22" s="1481">
        <f>margins!CH11-margins!CJ11</f>
        <v>101.37599999999999</v>
      </c>
      <c r="E22" s="1485">
        <f>margins!CI11-margins!CJ11</f>
        <v>101.37599999999999</v>
      </c>
      <c r="F22" s="1249"/>
      <c r="G22" s="1201"/>
      <c r="I22" s="1202"/>
      <c r="J22" s="1834"/>
      <c r="K22" s="1835"/>
      <c r="L22" s="1836"/>
      <c r="M22" s="1061"/>
      <c r="O22" s="481" t="s">
        <v>141</v>
      </c>
      <c r="P22" s="485" t="s">
        <v>203</v>
      </c>
      <c r="Q22" s="489">
        <f t="shared" si="0"/>
        <v>0</v>
      </c>
    </row>
    <row r="23" spans="1:17" s="1057" customFormat="1" ht="15.75" thickBot="1">
      <c r="A23" s="1203"/>
      <c r="B23" s="1480">
        <f>margins!$CF12</f>
        <v>7.125</v>
      </c>
      <c r="C23" s="1483">
        <f>margins!CG12-margins!CJ12</f>
        <v>102.164</v>
      </c>
      <c r="D23" s="1481">
        <f>margins!CH12-margins!CJ12</f>
        <v>102.06399999999999</v>
      </c>
      <c r="E23" s="1485">
        <f>margins!CI12-margins!CJ12</f>
        <v>102.06399999999999</v>
      </c>
      <c r="F23" s="1249"/>
      <c r="G23" s="1202" t="s">
        <v>642</v>
      </c>
      <c r="H23" s="1062"/>
      <c r="I23"/>
      <c r="J23" s="1834" t="s">
        <v>747</v>
      </c>
      <c r="K23" s="1835"/>
      <c r="L23" s="1836"/>
      <c r="M23" s="1472"/>
      <c r="O23" s="481" t="s">
        <v>215</v>
      </c>
      <c r="P23" s="485" t="s">
        <v>203</v>
      </c>
      <c r="Q23" s="489">
        <f t="shared" si="0"/>
        <v>0</v>
      </c>
    </row>
    <row r="24" spans="1:17" s="1057" customFormat="1">
      <c r="A24" s="1203"/>
      <c r="B24" s="1480">
        <f>margins!$CF13</f>
        <v>7.25</v>
      </c>
      <c r="C24" s="1483">
        <f>margins!CG13-margins!CJ13</f>
        <v>102.82</v>
      </c>
      <c r="D24" s="1481">
        <f>margins!CH13-margins!CJ13</f>
        <v>102.72</v>
      </c>
      <c r="E24" s="1485">
        <f>margins!CI13-margins!CJ13</f>
        <v>102.72</v>
      </c>
      <c r="F24" s="1249"/>
      <c r="G24" s="1248" t="s">
        <v>267</v>
      </c>
      <c r="H24" s="1468" t="s">
        <v>640</v>
      </c>
      <c r="I24"/>
      <c r="J24" s="1834"/>
      <c r="K24" s="1835"/>
      <c r="L24" s="1836"/>
      <c r="M24" s="1477"/>
      <c r="O24" s="481" t="s">
        <v>216</v>
      </c>
      <c r="P24" s="485" t="s">
        <v>203</v>
      </c>
      <c r="Q24" s="489">
        <f t="shared" si="0"/>
        <v>0</v>
      </c>
    </row>
    <row r="25" spans="1:17" s="1057" customFormat="1">
      <c r="A25" s="1203"/>
      <c r="B25" s="1480">
        <f>margins!$CF14</f>
        <v>7.375</v>
      </c>
      <c r="C25" s="1483">
        <f>margins!CG14-margins!CJ14</f>
        <v>103.477</v>
      </c>
      <c r="D25" s="1481">
        <f>margins!CH14-margins!CJ14</f>
        <v>103.377</v>
      </c>
      <c r="E25" s="1485">
        <f>margins!CI14-margins!CJ14</f>
        <v>103.377</v>
      </c>
      <c r="G25" s="1247" t="s">
        <v>223</v>
      </c>
      <c r="H25" s="1464">
        <v>6.5</v>
      </c>
      <c r="I25"/>
      <c r="J25" s="1834" t="s">
        <v>238</v>
      </c>
      <c r="K25" s="1835"/>
      <c r="L25" s="1836"/>
      <c r="M25" s="1477"/>
      <c r="O25" s="481" t="s">
        <v>69</v>
      </c>
      <c r="P25" s="485" t="s">
        <v>203</v>
      </c>
      <c r="Q25" s="489">
        <f t="shared" si="0"/>
        <v>0</v>
      </c>
    </row>
    <row r="26" spans="1:17" s="1057" customFormat="1" ht="14.25" customHeight="1" thickBot="1">
      <c r="A26" s="1203"/>
      <c r="B26" s="1480">
        <f>margins!$CF15</f>
        <v>7.5</v>
      </c>
      <c r="C26" s="1483">
        <f>margins!CG15-margins!CJ15</f>
        <v>104.008</v>
      </c>
      <c r="D26" s="1481">
        <f>margins!CH15-margins!CJ15</f>
        <v>103.908</v>
      </c>
      <c r="E26" s="1485">
        <f>margins!CI15-margins!CJ15</f>
        <v>103.908</v>
      </c>
      <c r="G26" s="1247" t="s">
        <v>639</v>
      </c>
      <c r="H26" s="1464" t="s">
        <v>638</v>
      </c>
      <c r="I26"/>
      <c r="J26" s="1837"/>
      <c r="K26" s="1838"/>
      <c r="L26" s="1839"/>
      <c r="M26" s="1477"/>
      <c r="O26" s="481" t="s">
        <v>172</v>
      </c>
      <c r="P26" s="485" t="s">
        <v>203</v>
      </c>
      <c r="Q26" s="489">
        <f t="shared" si="0"/>
        <v>0</v>
      </c>
    </row>
    <row r="27" spans="1:17" s="1057" customFormat="1">
      <c r="A27" s="1203"/>
      <c r="B27" s="1480">
        <f>margins!$CF16</f>
        <v>7.625</v>
      </c>
      <c r="C27" s="1483">
        <f>margins!CG16-margins!CJ16</f>
        <v>104.477</v>
      </c>
      <c r="D27" s="1481">
        <f>margins!CH16-margins!CJ16</f>
        <v>104.377</v>
      </c>
      <c r="E27" s="1485">
        <f>margins!CI16-margins!CJ16</f>
        <v>104.377</v>
      </c>
      <c r="G27" s="1247" t="s">
        <v>637</v>
      </c>
      <c r="H27" s="1465" t="s">
        <v>263</v>
      </c>
      <c r="I27"/>
      <c r="J27"/>
      <c r="K27"/>
      <c r="L27"/>
      <c r="M27" s="1477"/>
      <c r="O27" s="481" t="s">
        <v>144</v>
      </c>
      <c r="P27" s="485" t="s">
        <v>203</v>
      </c>
      <c r="Q27" s="489">
        <f t="shared" si="0"/>
        <v>0</v>
      </c>
    </row>
    <row r="28" spans="1:17" s="1057" customFormat="1" ht="14.25" customHeight="1" thickBot="1">
      <c r="A28" s="1203"/>
      <c r="B28" s="1480">
        <f>margins!$CF17</f>
        <v>7.75</v>
      </c>
      <c r="C28" s="1483">
        <f>margins!CG17-margins!CJ17</f>
        <v>104.91499999999999</v>
      </c>
      <c r="D28" s="1481">
        <f>margins!CH17-margins!CJ17</f>
        <v>104.815</v>
      </c>
      <c r="E28" s="1485">
        <f>margins!CI17-margins!CJ17</f>
        <v>104.815</v>
      </c>
      <c r="G28" s="1244" t="s">
        <v>636</v>
      </c>
      <c r="H28" s="1466" t="s">
        <v>635</v>
      </c>
      <c r="I28"/>
      <c r="J28"/>
      <c r="K28"/>
      <c r="L28"/>
      <c r="M28" s="1477"/>
      <c r="O28" s="481" t="s">
        <v>217</v>
      </c>
      <c r="P28" s="485">
        <v>45</v>
      </c>
      <c r="Q28" s="489">
        <f>IF(P28=15,0,IF(P28=30,K32,IF(P28=45,K33,0)))</f>
        <v>0</v>
      </c>
    </row>
    <row r="29" spans="1:17" s="1057" customFormat="1" ht="15.75" thickBot="1">
      <c r="A29" s="1203"/>
      <c r="B29" s="1480">
        <f>margins!$CF18</f>
        <v>7.875</v>
      </c>
      <c r="C29" s="1483">
        <f>margins!CG18-margins!CJ18</f>
        <v>105.352</v>
      </c>
      <c r="D29" s="1481">
        <f>margins!CH18-margins!CJ18</f>
        <v>105.252</v>
      </c>
      <c r="E29" s="1485">
        <f>margins!CI18-margins!CJ18</f>
        <v>105.252</v>
      </c>
      <c r="I29"/>
      <c r="J29"/>
      <c r="K29"/>
      <c r="L29"/>
      <c r="M29" s="1477"/>
      <c r="O29" s="482" t="s">
        <v>218</v>
      </c>
      <c r="P29" s="486"/>
      <c r="Q29" s="490">
        <f>Q18+Q19+Q20+Q21+Q22+Q23+Q24+Q25+Q26+Q28+Q17+Q27</f>
        <v>0</v>
      </c>
    </row>
    <row r="30" spans="1:17" s="1057" customFormat="1" ht="15.75" thickBot="1">
      <c r="A30" s="1203"/>
      <c r="B30" s="1480">
        <f>margins!$CF19</f>
        <v>8</v>
      </c>
      <c r="C30" s="1483">
        <f>margins!CG19-margins!CJ19</f>
        <v>105.78999999999999</v>
      </c>
      <c r="D30" s="1481">
        <f>margins!CH19-margins!CJ19</f>
        <v>105.69</v>
      </c>
      <c r="E30" s="1485">
        <f>margins!CI19-margins!CJ19</f>
        <v>105.69</v>
      </c>
      <c r="G30" s="1202"/>
      <c r="H30" s="1201"/>
      <c r="J30"/>
      <c r="K30"/>
      <c r="L30"/>
      <c r="M30" s="1473"/>
      <c r="O30" s="473"/>
      <c r="P30" s="474"/>
      <c r="Q30" s="483"/>
    </row>
    <row r="31" spans="1:17" s="1057" customFormat="1" ht="15.75" thickBot="1">
      <c r="A31" s="1203"/>
      <c r="B31" s="1480">
        <f>margins!$CF20</f>
        <v>8.125</v>
      </c>
      <c r="C31" s="1483">
        <f>margins!CG20-margins!CJ20</f>
        <v>106.227</v>
      </c>
      <c r="D31" s="1481">
        <f>margins!CH20-margins!CJ20</f>
        <v>106.127</v>
      </c>
      <c r="E31" s="1485">
        <f>margins!CI20-margins!CJ20</f>
        <v>106.127</v>
      </c>
      <c r="G31" s="1202"/>
      <c r="H31" s="1201"/>
      <c r="J31"/>
      <c r="K31"/>
      <c r="L31"/>
      <c r="M31" s="1473"/>
      <c r="O31" s="475" t="s">
        <v>219</v>
      </c>
      <c r="P31" s="476"/>
      <c r="Q31" s="491" t="e">
        <f>IF(ISNUMBER(MATCH("NA", Q17:Q28, 0)), "NA", IF(P23="Choose a Selection",(MIN(Q29+Q15,VLOOKUP($P$24,$F$15:$H$20,3,FALSE))),MIN(Q29+Q15,VLOOKUP($P$23,$G$15:$H$20,2,FALSE))))</f>
        <v>#N/A</v>
      </c>
    </row>
    <row r="32" spans="1:17" s="1057" customFormat="1" ht="15.75" thickBot="1">
      <c r="A32" s="1203"/>
      <c r="B32" s="1480">
        <f>margins!$CF21</f>
        <v>8.25</v>
      </c>
      <c r="C32" s="1483">
        <f>margins!CG21-margins!CJ21</f>
        <v>106.602</v>
      </c>
      <c r="D32" s="1481">
        <f>margins!CH21-margins!CJ21</f>
        <v>106.502</v>
      </c>
      <c r="E32" s="1485">
        <f>margins!CI21-margins!CJ21</f>
        <v>106.502</v>
      </c>
      <c r="J32"/>
      <c r="K32"/>
      <c r="L32"/>
      <c r="M32" s="1061"/>
      <c r="O32" s="470"/>
      <c r="P32" s="470"/>
      <c r="Q32" s="470"/>
    </row>
    <row r="33" spans="1:17" s="1057" customFormat="1" ht="15.75" thickBot="1">
      <c r="A33" s="1203"/>
      <c r="B33" s="1480">
        <f>margins!$CF22</f>
        <v>8.375</v>
      </c>
      <c r="C33" s="1483">
        <f>margins!CG22-margins!CJ22</f>
        <v>106.977</v>
      </c>
      <c r="D33" s="1481">
        <f>margins!CH22-margins!CJ22</f>
        <v>106.877</v>
      </c>
      <c r="E33" s="1485">
        <f>margins!CI22-margins!CJ22</f>
        <v>106.877</v>
      </c>
      <c r="J33"/>
      <c r="K33"/>
      <c r="L33"/>
      <c r="M33" s="1061"/>
      <c r="O33" s="849" t="s">
        <v>482</v>
      </c>
      <c r="P33" s="850"/>
      <c r="Q33" s="851"/>
    </row>
    <row r="34" spans="1:17" s="1057" customFormat="1">
      <c r="A34" s="1203"/>
      <c r="B34" s="1480">
        <f>margins!$CF23</f>
        <v>8.5</v>
      </c>
      <c r="C34" s="1483">
        <f>margins!CG23-margins!CJ23</f>
        <v>107.352</v>
      </c>
      <c r="D34" s="1481">
        <f>margins!CH23-margins!CJ23</f>
        <v>107.252</v>
      </c>
      <c r="E34" s="1485">
        <f>margins!CI23-margins!CJ23</f>
        <v>107.252</v>
      </c>
      <c r="J34"/>
      <c r="K34"/>
      <c r="L34"/>
      <c r="M34" s="1061"/>
    </row>
    <row r="35" spans="1:17" s="1057" customFormat="1">
      <c r="A35" s="1203"/>
      <c r="B35" s="1480">
        <f>margins!$CF24</f>
        <v>8.625</v>
      </c>
      <c r="C35" s="1483">
        <f>margins!CG24-margins!CJ24</f>
        <v>107.727</v>
      </c>
      <c r="D35" s="1481">
        <f>margins!CH24-margins!CJ24</f>
        <v>107.627</v>
      </c>
      <c r="E35" s="1485">
        <f>margins!CI24-margins!CJ24</f>
        <v>107.627</v>
      </c>
      <c r="M35" s="1061"/>
    </row>
    <row r="36" spans="1:17" s="1057" customFormat="1">
      <c r="A36" s="1203"/>
      <c r="B36" s="1480">
        <f>margins!$CF25</f>
        <v>8.75</v>
      </c>
      <c r="C36" s="1483">
        <f>margins!CG25-margins!CJ25</f>
        <v>108.102</v>
      </c>
      <c r="D36" s="1481">
        <f>margins!CH25-margins!CJ25</f>
        <v>108.002</v>
      </c>
      <c r="E36" s="1485">
        <f>margins!CI25-margins!CJ25</f>
        <v>108.002</v>
      </c>
      <c r="M36" s="1061"/>
    </row>
    <row r="37" spans="1:17" s="1057" customFormat="1">
      <c r="A37" s="1203"/>
      <c r="B37" s="1480">
        <f>margins!$CF26</f>
        <v>8.875</v>
      </c>
      <c r="C37" s="1483">
        <f>margins!CG26-margins!CJ26</f>
        <v>108.41499999999999</v>
      </c>
      <c r="D37" s="1481">
        <f>margins!CH26-margins!CJ26</f>
        <v>108.315</v>
      </c>
      <c r="E37" s="1485">
        <f>margins!CI26-margins!CJ26</f>
        <v>108.315</v>
      </c>
      <c r="M37" s="1061"/>
    </row>
    <row r="38" spans="1:17" s="1057" customFormat="1">
      <c r="A38" s="1203"/>
      <c r="B38" s="1480">
        <f>margins!$CF27</f>
        <v>9</v>
      </c>
      <c r="C38" s="1483">
        <f>margins!CG27-margins!CJ27</f>
        <v>108.66499999999999</v>
      </c>
      <c r="D38" s="1481">
        <f>margins!CH27-margins!CJ27</f>
        <v>108.565</v>
      </c>
      <c r="E38" s="1485">
        <f>margins!CI27-margins!CJ27</f>
        <v>108.565</v>
      </c>
      <c r="M38" s="1061"/>
    </row>
    <row r="39" spans="1:17" s="1057" customFormat="1">
      <c r="A39" s="1203"/>
      <c r="B39" s="1480">
        <f>margins!$CF28</f>
        <v>9.125</v>
      </c>
      <c r="C39" s="1483">
        <f>margins!CG28-margins!CJ28</f>
        <v>108.91499999999999</v>
      </c>
      <c r="D39" s="1481">
        <f>margins!CH28-margins!CJ28</f>
        <v>108.815</v>
      </c>
      <c r="E39" s="1485">
        <f>margins!CI28-margins!CJ28</f>
        <v>108.815</v>
      </c>
      <c r="M39" s="1061"/>
    </row>
    <row r="40" spans="1:17" s="1057" customFormat="1">
      <c r="A40" s="1203"/>
      <c r="B40" s="1480">
        <f>margins!$CF29</f>
        <v>9.25</v>
      </c>
      <c r="C40" s="1483">
        <f>margins!CG29-margins!CJ29</f>
        <v>109.16499999999999</v>
      </c>
      <c r="D40" s="1481">
        <f>margins!CH29-margins!CJ29</f>
        <v>109.065</v>
      </c>
      <c r="E40" s="1485">
        <f>margins!CI29-margins!CJ29</f>
        <v>109.065</v>
      </c>
      <c r="M40" s="1061"/>
    </row>
    <row r="41" spans="1:17" s="1057" customFormat="1">
      <c r="A41" s="1203"/>
      <c r="B41" s="1480">
        <f>margins!$CF30</f>
        <v>9.375</v>
      </c>
      <c r="C41" s="1483">
        <f>margins!CG30-margins!CJ30</f>
        <v>109.41499999999999</v>
      </c>
      <c r="D41" s="1481">
        <f>margins!CH30-margins!CJ30</f>
        <v>109.315</v>
      </c>
      <c r="E41" s="1485">
        <f>margins!CI30-margins!CJ30</f>
        <v>109.315</v>
      </c>
      <c r="M41" s="1061"/>
    </row>
    <row r="42" spans="1:17" s="1057" customFormat="1" ht="15.75" thickBot="1">
      <c r="A42" s="1203"/>
      <c r="B42" s="1490">
        <f>margins!$CF31</f>
        <v>9.5</v>
      </c>
      <c r="C42" s="1491">
        <f>margins!CG31-margins!CJ31</f>
        <v>109.66499999999999</v>
      </c>
      <c r="D42" s="1523">
        <f>margins!CH31-margins!CJ31</f>
        <v>109.565</v>
      </c>
      <c r="E42" s="1492">
        <f>margins!CI31-margins!CJ31</f>
        <v>109.565</v>
      </c>
      <c r="M42" s="1061"/>
    </row>
    <row r="43" spans="1:17" s="1057" customFormat="1">
      <c r="A43" s="1203"/>
      <c r="B43" s="1235"/>
      <c r="C43" s="1234"/>
      <c r="D43" s="1336"/>
      <c r="M43" s="1061"/>
    </row>
    <row r="44" spans="1:17" s="1057" customFormat="1" ht="15.75" thickBot="1">
      <c r="A44" s="1203"/>
      <c r="G44" s="1202"/>
      <c r="H44" s="1201"/>
      <c r="M44" s="1061"/>
    </row>
    <row r="45" spans="1:17" s="1057" customFormat="1" ht="15.75" thickBot="1">
      <c r="A45" s="1203"/>
      <c r="B45" s="1852" t="s">
        <v>244</v>
      </c>
      <c r="C45" s="1852"/>
      <c r="D45" s="1852"/>
      <c r="E45" s="1743" t="s">
        <v>329</v>
      </c>
      <c r="F45" s="1744"/>
      <c r="G45" s="1744"/>
      <c r="H45" s="1744"/>
      <c r="I45" s="1745"/>
      <c r="J45"/>
      <c r="M45" s="1061"/>
    </row>
    <row r="46" spans="1:17" s="1057" customFormat="1" ht="15.75" thickBot="1">
      <c r="A46" s="1203"/>
      <c r="B46" s="1441"/>
      <c r="C46" s="1454"/>
      <c r="D46" s="1455" t="s">
        <v>203</v>
      </c>
      <c r="E46" s="1233" t="s">
        <v>15</v>
      </c>
      <c r="F46" s="1229" t="s">
        <v>16</v>
      </c>
      <c r="G46" s="1229" t="s">
        <v>17</v>
      </c>
      <c r="H46" s="1231" t="s">
        <v>18</v>
      </c>
      <c r="I46" s="1280" t="s">
        <v>19</v>
      </c>
      <c r="J46"/>
      <c r="M46" s="1061"/>
    </row>
    <row r="47" spans="1:17" s="1057" customFormat="1">
      <c r="A47" s="1203"/>
      <c r="B47" s="1788" t="s">
        <v>767</v>
      </c>
      <c r="C47" s="1791" t="s">
        <v>116</v>
      </c>
      <c r="D47" s="1853"/>
      <c r="E47" s="1216">
        <v>1.875</v>
      </c>
      <c r="F47" s="1215">
        <v>1.625</v>
      </c>
      <c r="G47" s="1215">
        <v>1.375</v>
      </c>
      <c r="H47" s="1215">
        <v>0.875</v>
      </c>
      <c r="I47" s="1214">
        <v>0.25</v>
      </c>
      <c r="J47"/>
      <c r="M47" s="1061"/>
    </row>
    <row r="48" spans="1:17" s="1057" customFormat="1">
      <c r="A48" s="1203"/>
      <c r="B48" s="1749"/>
      <c r="C48" s="1791" t="s">
        <v>24</v>
      </c>
      <c r="D48" s="1853"/>
      <c r="E48" s="1216">
        <v>1.75</v>
      </c>
      <c r="F48" s="1215">
        <v>1.5</v>
      </c>
      <c r="G48" s="1215">
        <v>1.2499999999999998</v>
      </c>
      <c r="H48" s="1215">
        <v>0.75</v>
      </c>
      <c r="I48" s="1214">
        <v>-1.1102230246251565E-16</v>
      </c>
      <c r="J48"/>
      <c r="M48" s="1061"/>
    </row>
    <row r="49" spans="1:13" s="1057" customFormat="1">
      <c r="A49" s="1203"/>
      <c r="B49" s="1749"/>
      <c r="C49" s="1791" t="s">
        <v>25</v>
      </c>
      <c r="D49" s="1853"/>
      <c r="E49" s="1216">
        <v>1.5</v>
      </c>
      <c r="F49" s="1215">
        <v>1.25</v>
      </c>
      <c r="G49" s="1215">
        <v>0.99999999999999978</v>
      </c>
      <c r="H49" s="1215">
        <v>0.5</v>
      </c>
      <c r="I49" s="1214">
        <v>-0.25</v>
      </c>
      <c r="J49"/>
      <c r="M49" s="1061"/>
    </row>
    <row r="50" spans="1:13" s="1057" customFormat="1">
      <c r="A50" s="1203"/>
      <c r="B50" s="1749"/>
      <c r="C50" s="1791" t="s">
        <v>26</v>
      </c>
      <c r="D50" s="1853"/>
      <c r="E50" s="1216">
        <v>0.87499999999999989</v>
      </c>
      <c r="F50" s="1215">
        <v>0.625</v>
      </c>
      <c r="G50" s="1215">
        <v>0.37499999999999978</v>
      </c>
      <c r="H50" s="1215">
        <v>-0.125</v>
      </c>
      <c r="I50" s="1214">
        <v>-1</v>
      </c>
      <c r="J50"/>
      <c r="M50" s="1061"/>
    </row>
    <row r="51" spans="1:13" s="1057" customFormat="1">
      <c r="A51" s="1203"/>
      <c r="B51" s="1749"/>
      <c r="C51" s="1791" t="s">
        <v>25</v>
      </c>
      <c r="D51" s="1853"/>
      <c r="E51" s="1216">
        <v>0.24999999999999992</v>
      </c>
      <c r="F51" s="1215">
        <v>-0.12500000000000011</v>
      </c>
      <c r="G51" s="1215">
        <v>-0.12500000000000011</v>
      </c>
      <c r="H51" s="1215">
        <v>-0.625</v>
      </c>
      <c r="I51" s="1214" t="s">
        <v>14</v>
      </c>
      <c r="J51"/>
      <c r="M51" s="1061"/>
    </row>
    <row r="52" spans="1:13" s="1057" customFormat="1" ht="15.75" thickBot="1">
      <c r="A52" s="1203"/>
      <c r="B52" s="1789"/>
      <c r="C52" s="1737" t="s">
        <v>26</v>
      </c>
      <c r="D52" s="1739"/>
      <c r="E52" s="1278">
        <v>-8.3266726846886741E-17</v>
      </c>
      <c r="F52" s="1277">
        <v>-0.37500000000000011</v>
      </c>
      <c r="G52" s="1277">
        <v>-0.62500000000000011</v>
      </c>
      <c r="H52" s="1277">
        <v>-1.125</v>
      </c>
      <c r="I52" s="1276" t="s">
        <v>14</v>
      </c>
      <c r="J52"/>
      <c r="M52" s="1061"/>
    </row>
    <row r="53" spans="1:13" s="1057" customFormat="1" ht="15.75" thickBot="1">
      <c r="A53" s="1203"/>
      <c r="B53" s="1206"/>
      <c r="C53" s="1206"/>
      <c r="D53" s="1206"/>
      <c r="E53" s="1206"/>
      <c r="F53" s="1290"/>
      <c r="G53" s="1334"/>
      <c r="H53" s="1290"/>
      <c r="I53" s="1290"/>
      <c r="J53"/>
      <c r="K53" s="1333"/>
      <c r="L53" s="1333"/>
      <c r="M53" s="1474"/>
    </row>
    <row r="54" spans="1:13" s="1057" customFormat="1" ht="15.75" thickBot="1">
      <c r="A54" s="1203"/>
      <c r="B54" s="1852" t="s">
        <v>763</v>
      </c>
      <c r="C54" s="1852"/>
      <c r="D54" s="1852"/>
      <c r="E54" s="1743" t="s">
        <v>329</v>
      </c>
      <c r="F54" s="1744"/>
      <c r="G54" s="1744"/>
      <c r="H54" s="1744"/>
      <c r="I54" s="1745"/>
      <c r="J54"/>
      <c r="K54" s="1249"/>
      <c r="L54" s="1249"/>
      <c r="M54" s="1471"/>
    </row>
    <row r="55" spans="1:13" s="1057" customFormat="1" ht="15.75" thickBot="1">
      <c r="A55" s="1203"/>
      <c r="B55" s="1708"/>
      <c r="C55" s="1709"/>
      <c r="D55" s="1709"/>
      <c r="E55" s="1332" t="s">
        <v>15</v>
      </c>
      <c r="F55" s="1330" t="s">
        <v>16</v>
      </c>
      <c r="G55" s="1330" t="s">
        <v>17</v>
      </c>
      <c r="H55" s="1329" t="s">
        <v>18</v>
      </c>
      <c r="I55" s="1526" t="s">
        <v>19</v>
      </c>
      <c r="J55"/>
      <c r="M55" s="1061"/>
    </row>
    <row r="56" spans="1:13" s="1057" customFormat="1" ht="15.75" thickBot="1">
      <c r="A56" s="1203"/>
      <c r="B56" s="1222" t="s">
        <v>72</v>
      </c>
      <c r="C56" s="1708" t="s">
        <v>73</v>
      </c>
      <c r="D56" s="1710"/>
      <c r="E56" s="1219">
        <v>-0.25</v>
      </c>
      <c r="F56" s="1218">
        <v>-0.25</v>
      </c>
      <c r="G56" s="1218">
        <v>-0.25</v>
      </c>
      <c r="H56" s="1218">
        <v>-0.25</v>
      </c>
      <c r="I56" s="1217">
        <v>-0.25</v>
      </c>
      <c r="J56"/>
      <c r="M56" s="1061"/>
    </row>
    <row r="57" spans="1:13" s="1057" customFormat="1" ht="15.75" thickBot="1">
      <c r="A57" s="1203"/>
      <c r="B57" s="1223" t="s">
        <v>168</v>
      </c>
      <c r="C57" s="1708" t="s">
        <v>129</v>
      </c>
      <c r="D57" s="1710"/>
      <c r="E57" s="1219">
        <v>0</v>
      </c>
      <c r="F57" s="1218">
        <v>0</v>
      </c>
      <c r="G57" s="1218">
        <v>0</v>
      </c>
      <c r="H57" s="1218">
        <v>0</v>
      </c>
      <c r="I57" s="1217">
        <v>0</v>
      </c>
      <c r="J57"/>
      <c r="M57" s="1061"/>
    </row>
    <row r="58" spans="1:13" s="1057" customFormat="1">
      <c r="A58" s="1203"/>
      <c r="B58" s="1788" t="s">
        <v>47</v>
      </c>
      <c r="C58" s="1717" t="s">
        <v>481</v>
      </c>
      <c r="D58" s="1719"/>
      <c r="E58" s="1275">
        <v>0</v>
      </c>
      <c r="F58" s="1274">
        <v>0</v>
      </c>
      <c r="G58" s="1274">
        <v>0</v>
      </c>
      <c r="H58" s="1274">
        <v>0</v>
      </c>
      <c r="I58" s="1273">
        <v>0</v>
      </c>
      <c r="J58"/>
      <c r="M58" s="1061"/>
    </row>
    <row r="59" spans="1:13" s="1057" customFormat="1">
      <c r="A59" s="1203"/>
      <c r="B59" s="1749"/>
      <c r="C59" s="1714" t="s">
        <v>132</v>
      </c>
      <c r="D59" s="1716"/>
      <c r="E59" s="1216">
        <v>0</v>
      </c>
      <c r="F59" s="1215">
        <v>0</v>
      </c>
      <c r="G59" s="1215">
        <v>0</v>
      </c>
      <c r="H59" s="1215">
        <v>0</v>
      </c>
      <c r="I59" s="1214">
        <v>0</v>
      </c>
      <c r="J59"/>
      <c r="M59" s="1061"/>
    </row>
    <row r="60" spans="1:13" s="1057" customFormat="1">
      <c r="A60" s="1203"/>
      <c r="B60" s="1749"/>
      <c r="C60" s="1714" t="s">
        <v>133</v>
      </c>
      <c r="D60" s="1716"/>
      <c r="E60" s="1216">
        <v>0</v>
      </c>
      <c r="F60" s="1215">
        <v>0</v>
      </c>
      <c r="G60" s="1215">
        <v>0</v>
      </c>
      <c r="H60" s="1215">
        <v>0</v>
      </c>
      <c r="I60" s="1214">
        <v>0</v>
      </c>
      <c r="J60"/>
      <c r="M60" s="1061"/>
    </row>
    <row r="61" spans="1:13" s="1057" customFormat="1">
      <c r="A61" s="1203"/>
      <c r="B61" s="1749"/>
      <c r="C61" s="1714" t="s">
        <v>134</v>
      </c>
      <c r="D61" s="1716"/>
      <c r="E61" s="1216">
        <v>0</v>
      </c>
      <c r="F61" s="1215">
        <v>0</v>
      </c>
      <c r="G61" s="1215">
        <v>0</v>
      </c>
      <c r="H61" s="1215">
        <v>0</v>
      </c>
      <c r="I61" s="1214">
        <v>0</v>
      </c>
      <c r="J61"/>
      <c r="M61" s="1061"/>
    </row>
    <row r="62" spans="1:13" s="1057" customFormat="1">
      <c r="A62" s="1203"/>
      <c r="B62" s="1749"/>
      <c r="C62" s="1714" t="s">
        <v>135</v>
      </c>
      <c r="D62" s="1716"/>
      <c r="E62" s="1216">
        <v>0</v>
      </c>
      <c r="F62" s="1215">
        <v>0</v>
      </c>
      <c r="G62" s="1215">
        <v>0</v>
      </c>
      <c r="H62" s="1215">
        <v>0</v>
      </c>
      <c r="I62" s="1214">
        <v>0</v>
      </c>
      <c r="J62"/>
      <c r="M62" s="1061"/>
    </row>
    <row r="63" spans="1:13" s="1057" customFormat="1" ht="15.75" thickBot="1">
      <c r="A63" s="1203"/>
      <c r="B63" s="1789"/>
      <c r="C63" s="1714" t="s">
        <v>136</v>
      </c>
      <c r="D63" s="1716"/>
      <c r="E63" s="1216">
        <v>0</v>
      </c>
      <c r="F63" s="1215">
        <v>0</v>
      </c>
      <c r="G63" s="1215">
        <v>0</v>
      </c>
      <c r="H63" s="1215">
        <v>0</v>
      </c>
      <c r="I63" s="1214">
        <v>0</v>
      </c>
      <c r="J63"/>
      <c r="M63" s="1061"/>
    </row>
    <row r="64" spans="1:13" s="1057" customFormat="1" ht="15.75" thickBot="1">
      <c r="A64" s="1203"/>
      <c r="B64" s="1426" t="s">
        <v>56</v>
      </c>
      <c r="C64" s="1708" t="s">
        <v>604</v>
      </c>
      <c r="D64" s="1710"/>
      <c r="E64" s="1213">
        <v>-0.375</v>
      </c>
      <c r="F64" s="1212">
        <v>-0.375</v>
      </c>
      <c r="G64" s="1212">
        <v>-0.375</v>
      </c>
      <c r="H64" s="1212">
        <v>-0.5</v>
      </c>
      <c r="I64" s="1211" t="s">
        <v>14</v>
      </c>
      <c r="J64"/>
      <c r="M64" s="1061"/>
    </row>
    <row r="65" spans="1:13" s="1057" customFormat="1" ht="15.75" thickBot="1">
      <c r="A65" s="1203"/>
      <c r="B65" s="1222" t="s">
        <v>65</v>
      </c>
      <c r="C65" s="1708" t="s">
        <v>141</v>
      </c>
      <c r="D65" s="1710"/>
      <c r="E65" s="1219">
        <v>-0.5</v>
      </c>
      <c r="F65" s="1218">
        <v>-0.5</v>
      </c>
      <c r="G65" s="1218">
        <v>-0.5</v>
      </c>
      <c r="H65" s="1218">
        <v>-0.5</v>
      </c>
      <c r="I65" s="1217">
        <v>-0.625</v>
      </c>
      <c r="J65"/>
      <c r="M65" s="1061"/>
    </row>
    <row r="66" spans="1:13" s="1057" customFormat="1" ht="15" customHeight="1">
      <c r="A66" s="1203"/>
      <c r="B66" s="1746" t="s">
        <v>631</v>
      </c>
      <c r="C66" s="1717" t="s">
        <v>99</v>
      </c>
      <c r="D66" s="1719"/>
      <c r="E66" s="1213">
        <v>1</v>
      </c>
      <c r="F66" s="1212">
        <v>1</v>
      </c>
      <c r="G66" s="1212">
        <v>1</v>
      </c>
      <c r="H66" s="1212">
        <v>1</v>
      </c>
      <c r="I66" s="1211">
        <v>1.125</v>
      </c>
      <c r="J66"/>
      <c r="M66" s="1061"/>
    </row>
    <row r="67" spans="1:13" s="1057" customFormat="1">
      <c r="A67" s="1203"/>
      <c r="B67" s="1747"/>
      <c r="C67" s="1714" t="s">
        <v>100</v>
      </c>
      <c r="D67" s="1716"/>
      <c r="E67" s="1216">
        <v>0.75</v>
      </c>
      <c r="F67" s="1215">
        <v>0.75</v>
      </c>
      <c r="G67" s="1215">
        <v>0.75</v>
      </c>
      <c r="H67" s="1215">
        <v>0.75</v>
      </c>
      <c r="I67" s="1214">
        <v>0.875</v>
      </c>
      <c r="J67"/>
      <c r="M67" s="1061"/>
    </row>
    <row r="68" spans="1:13" s="1057" customFormat="1">
      <c r="A68" s="1203"/>
      <c r="B68" s="1747"/>
      <c r="C68" s="1714" t="s">
        <v>7</v>
      </c>
      <c r="D68" s="1716"/>
      <c r="E68" s="1216">
        <v>0.25</v>
      </c>
      <c r="F68" s="1215">
        <v>0.25</v>
      </c>
      <c r="G68" s="1215">
        <v>0.25</v>
      </c>
      <c r="H68" s="1215">
        <v>0.25</v>
      </c>
      <c r="I68" s="1214">
        <v>0.25</v>
      </c>
      <c r="J68"/>
      <c r="M68" s="1061"/>
    </row>
    <row r="69" spans="1:13" s="1057" customFormat="1">
      <c r="A69" s="1203"/>
      <c r="B69" s="1790"/>
      <c r="C69" s="2036" t="s">
        <v>9</v>
      </c>
      <c r="D69" s="1716"/>
      <c r="E69" s="1216">
        <v>-0.375</v>
      </c>
      <c r="F69" s="1215">
        <v>-0.375</v>
      </c>
      <c r="G69" s="1215">
        <v>-0.375</v>
      </c>
      <c r="H69" s="1215">
        <v>-0.375</v>
      </c>
      <c r="I69" s="1214">
        <v>-0.5</v>
      </c>
      <c r="J69"/>
      <c r="M69" s="1061"/>
    </row>
    <row r="70" spans="1:13" s="1057" customFormat="1">
      <c r="A70" s="1203"/>
      <c r="B70" s="1747"/>
      <c r="C70" s="1714" t="s">
        <v>11</v>
      </c>
      <c r="D70" s="1716"/>
      <c r="E70" s="1216">
        <v>-1.125</v>
      </c>
      <c r="F70" s="1215">
        <v>-1.125</v>
      </c>
      <c r="G70" s="1215">
        <v>-1.375</v>
      </c>
      <c r="H70" s="1215">
        <v>-1.375</v>
      </c>
      <c r="I70" s="1214">
        <v>-1.6250000000000002</v>
      </c>
      <c r="J70"/>
      <c r="M70" s="1061"/>
    </row>
    <row r="71" spans="1:13" s="1057" customFormat="1" ht="15.75" thickBot="1">
      <c r="A71" s="1203"/>
      <c r="B71" s="1748"/>
      <c r="C71" s="1740" t="s">
        <v>101</v>
      </c>
      <c r="D71" s="1742"/>
      <c r="E71" s="1463">
        <v>-1.7500000000000002</v>
      </c>
      <c r="F71" s="1279">
        <v>-1.7500000000000002</v>
      </c>
      <c r="G71" s="1279">
        <v>-2</v>
      </c>
      <c r="H71" s="1279">
        <v>-2</v>
      </c>
      <c r="I71" s="1434">
        <v>-2.25</v>
      </c>
      <c r="J71"/>
      <c r="M71" s="1061"/>
    </row>
    <row r="72" spans="1:13" s="1057" customFormat="1">
      <c r="A72" s="1203"/>
      <c r="B72" s="1746" t="s">
        <v>479</v>
      </c>
      <c r="C72" s="1720" t="s">
        <v>195</v>
      </c>
      <c r="D72" s="1722"/>
      <c r="E72" s="1339">
        <v>0.75</v>
      </c>
      <c r="F72" s="1339">
        <v>0.75</v>
      </c>
      <c r="G72" s="1339">
        <v>0.75</v>
      </c>
      <c r="H72" s="1339">
        <v>0.75</v>
      </c>
      <c r="I72" s="1340">
        <v>0.875</v>
      </c>
      <c r="J72"/>
      <c r="M72" s="1061"/>
    </row>
    <row r="73" spans="1:13" s="1057" customFormat="1">
      <c r="A73" s="1203"/>
      <c r="B73" s="1747"/>
      <c r="C73" s="1791" t="s">
        <v>196</v>
      </c>
      <c r="D73" s="1853"/>
      <c r="E73" s="1279">
        <v>0.5</v>
      </c>
      <c r="F73" s="1279">
        <v>0.5</v>
      </c>
      <c r="G73" s="1279">
        <v>0.5</v>
      </c>
      <c r="H73" s="1279">
        <v>0.5</v>
      </c>
      <c r="I73" s="1434">
        <v>0.625</v>
      </c>
      <c r="J73"/>
      <c r="M73" s="1061"/>
    </row>
    <row r="74" spans="1:13" s="1057" customFormat="1">
      <c r="A74" s="1203"/>
      <c r="B74" s="1747"/>
      <c r="C74" s="1791" t="s">
        <v>197</v>
      </c>
      <c r="D74" s="1853"/>
      <c r="E74" s="1279">
        <v>0</v>
      </c>
      <c r="F74" s="1279">
        <v>0</v>
      </c>
      <c r="G74" s="1279">
        <v>0</v>
      </c>
      <c r="H74" s="1279">
        <v>0</v>
      </c>
      <c r="I74" s="1434">
        <v>0</v>
      </c>
      <c r="J74"/>
      <c r="M74" s="1061"/>
    </row>
    <row r="75" spans="1:13" s="1057" customFormat="1" ht="15.75" thickBot="1">
      <c r="A75" s="1203"/>
      <c r="B75" s="1748"/>
      <c r="C75" s="1737" t="s">
        <v>198</v>
      </c>
      <c r="D75" s="1739"/>
      <c r="E75" s="1208">
        <v>-0.375</v>
      </c>
      <c r="F75" s="1208">
        <v>-0.375</v>
      </c>
      <c r="G75" s="1208">
        <v>-0.375</v>
      </c>
      <c r="H75" s="1208">
        <v>-0.375</v>
      </c>
      <c r="I75" s="1207">
        <v>-0.5</v>
      </c>
      <c r="J75"/>
      <c r="M75" s="1061"/>
    </row>
    <row r="76" spans="1:13" s="1057" customFormat="1" ht="15.75" thickBot="1">
      <c r="A76" s="1203"/>
      <c r="B76" s="1788" t="s">
        <v>68</v>
      </c>
      <c r="C76" s="1737" t="s">
        <v>69</v>
      </c>
      <c r="D76" s="1739"/>
      <c r="E76" s="1209" t="s">
        <v>14</v>
      </c>
      <c r="F76" s="1208" t="s">
        <v>14</v>
      </c>
      <c r="G76" s="1208" t="s">
        <v>14</v>
      </c>
      <c r="H76" s="1208" t="s">
        <v>14</v>
      </c>
      <c r="I76" s="1207" t="s">
        <v>14</v>
      </c>
      <c r="J76"/>
      <c r="M76" s="1061"/>
    </row>
    <row r="77" spans="1:13" s="1057" customFormat="1" ht="15.75" thickBot="1">
      <c r="A77" s="1203"/>
      <c r="B77" s="1789"/>
      <c r="C77" s="1708" t="s">
        <v>172</v>
      </c>
      <c r="D77" s="1710"/>
      <c r="E77" s="1219">
        <v>-0.25</v>
      </c>
      <c r="F77" s="1218">
        <v>-0.25</v>
      </c>
      <c r="G77" s="1218">
        <v>-0.25</v>
      </c>
      <c r="H77" s="1218">
        <v>-0.25</v>
      </c>
      <c r="I77" s="1217">
        <v>-0.25</v>
      </c>
      <c r="J77"/>
      <c r="M77" s="1061"/>
    </row>
    <row r="78" spans="1:13" s="1057" customFormat="1" ht="15" customHeight="1" thickBot="1">
      <c r="A78" s="1203"/>
      <c r="B78" s="1426" t="s">
        <v>339</v>
      </c>
      <c r="C78" s="1708" t="s">
        <v>144</v>
      </c>
      <c r="D78" s="1710"/>
      <c r="E78" s="1213">
        <v>-2.25</v>
      </c>
      <c r="F78" s="1212">
        <v>-2.25</v>
      </c>
      <c r="G78" s="1212">
        <v>-2.375</v>
      </c>
      <c r="H78" s="1212">
        <v>-2.375</v>
      </c>
      <c r="I78" s="1211" t="s">
        <v>14</v>
      </c>
      <c r="J78" s="1325"/>
      <c r="K78" s="1325"/>
      <c r="L78" s="1325"/>
      <c r="M78" s="1434"/>
    </row>
    <row r="79" spans="1:13" s="1057" customFormat="1">
      <c r="A79" s="1203"/>
      <c r="C79" s="1271"/>
      <c r="D79" s="1271"/>
      <c r="E79" s="1271"/>
      <c r="F79" s="1279"/>
      <c r="G79" s="1325"/>
      <c r="H79" s="1279"/>
      <c r="I79" s="1279"/>
      <c r="J79" s="1325"/>
      <c r="K79" s="1325"/>
      <c r="L79" s="1325"/>
      <c r="M79" s="1434"/>
    </row>
    <row r="80" spans="1:13" s="1057" customFormat="1">
      <c r="A80" s="1203"/>
      <c r="C80" s="1271"/>
      <c r="D80" s="1271"/>
      <c r="E80" s="1271"/>
      <c r="F80" s="1279"/>
      <c r="G80" s="1325"/>
      <c r="H80" s="1279"/>
      <c r="I80" s="1279"/>
      <c r="J80" s="1325"/>
      <c r="K80" s="1325"/>
      <c r="L80" s="1325"/>
      <c r="M80" s="1434"/>
    </row>
    <row r="81" spans="1:13" s="1057" customFormat="1">
      <c r="A81" s="1203"/>
      <c r="C81" s="1271"/>
      <c r="D81" s="1271"/>
      <c r="E81" s="1271"/>
      <c r="F81" s="1279"/>
      <c r="G81" s="1325"/>
      <c r="H81" s="1279"/>
      <c r="I81" s="1279"/>
      <c r="J81" s="1325"/>
      <c r="K81" s="1325"/>
      <c r="L81" s="1325"/>
      <c r="M81" s="1434"/>
    </row>
    <row r="82" spans="1:13" s="1057" customFormat="1" ht="15" customHeight="1">
      <c r="A82" s="1203"/>
      <c r="C82" s="1271"/>
      <c r="D82" s="1271"/>
      <c r="E82" s="1271"/>
      <c r="F82" s="1325"/>
      <c r="G82" s="1325"/>
      <c r="H82" s="1279"/>
      <c r="I82" s="1325"/>
      <c r="J82" s="1325"/>
      <c r="K82" s="1279"/>
      <c r="L82" s="1279"/>
      <c r="M82" s="1434"/>
    </row>
    <row r="83" spans="1:13" s="1057" customFormat="1">
      <c r="A83" s="1203"/>
      <c r="B83" s="1326"/>
      <c r="C83" s="1271"/>
      <c r="D83" s="1271"/>
      <c r="E83" s="1271"/>
      <c r="F83" s="1325"/>
      <c r="G83" s="1279"/>
      <c r="H83" s="1325"/>
      <c r="I83" s="1325"/>
      <c r="J83" s="1279"/>
      <c r="K83" s="1279"/>
      <c r="L83" s="1279"/>
      <c r="M83" s="1434"/>
    </row>
    <row r="84" spans="1:13" s="1057" customFormat="1">
      <c r="A84" s="1203"/>
      <c r="B84" s="1326"/>
      <c r="C84" s="1271"/>
      <c r="D84" s="1271"/>
      <c r="E84" s="1271"/>
      <c r="F84" s="1325"/>
      <c r="G84" s="1279"/>
      <c r="H84" s="1325"/>
      <c r="I84" s="1325"/>
      <c r="J84" s="1279"/>
      <c r="K84" s="1279"/>
      <c r="L84" s="1279"/>
      <c r="M84" s="1434"/>
    </row>
    <row r="85" spans="1:13" s="1057" customFormat="1">
      <c r="A85" s="1203"/>
      <c r="B85" s="1326"/>
      <c r="C85" s="1271"/>
      <c r="D85" s="1271"/>
      <c r="E85" s="1271"/>
      <c r="F85" s="1325"/>
      <c r="G85" s="1279"/>
      <c r="H85" s="1325"/>
      <c r="I85" s="1325"/>
      <c r="J85" s="1279"/>
      <c r="K85" s="1279"/>
      <c r="L85" s="1279"/>
      <c r="M85" s="1434"/>
    </row>
    <row r="86" spans="1:13" s="1057" customFormat="1">
      <c r="A86" s="1203"/>
      <c r="B86" s="1326"/>
      <c r="C86" s="1271"/>
      <c r="D86" s="1271"/>
      <c r="E86" s="1271"/>
      <c r="F86" s="1325"/>
      <c r="G86" s="1325"/>
      <c r="H86" s="1279"/>
      <c r="I86" s="1325"/>
      <c r="J86" s="1325"/>
      <c r="K86" s="1279"/>
      <c r="L86" s="1279"/>
      <c r="M86" s="1434"/>
    </row>
    <row r="87" spans="1:13" s="1057" customFormat="1">
      <c r="A87" s="1203"/>
      <c r="B87" s="1206" t="s">
        <v>630</v>
      </c>
      <c r="C87" s="1271"/>
      <c r="D87" s="1271"/>
      <c r="E87" s="1271"/>
      <c r="F87" s="1325"/>
      <c r="G87" s="1325"/>
      <c r="H87" s="1279"/>
      <c r="I87" s="1325"/>
      <c r="J87" s="1325"/>
      <c r="K87" s="1279"/>
      <c r="L87" s="1279"/>
      <c r="M87" s="1434"/>
    </row>
    <row r="88" spans="1:13" s="1057" customFormat="1">
      <c r="A88" s="1203"/>
      <c r="B88" s="1206"/>
      <c r="C88" s="1271"/>
      <c r="D88" s="1271"/>
      <c r="E88" s="1271"/>
      <c r="F88" s="1279"/>
      <c r="G88" s="1325"/>
      <c r="H88" s="1279"/>
      <c r="I88" s="1279"/>
      <c r="J88" s="1325"/>
      <c r="K88" s="1325"/>
      <c r="L88" s="1325"/>
      <c r="M88" s="1434"/>
    </row>
    <row r="89" spans="1:13" s="1057" customFormat="1">
      <c r="A89" s="1203"/>
      <c r="B89" s="1206"/>
      <c r="C89" s="1271"/>
      <c r="D89" s="1271"/>
      <c r="E89" s="1271"/>
      <c r="F89" s="1279"/>
      <c r="G89" s="1325"/>
      <c r="H89" s="1279"/>
      <c r="I89" s="1279"/>
      <c r="J89" s="1325"/>
      <c r="K89" s="1325"/>
      <c r="L89" s="1325"/>
      <c r="M89" s="1434"/>
    </row>
    <row r="90" spans="1:13" s="1057" customFormat="1">
      <c r="A90" s="1203"/>
      <c r="B90" s="1206"/>
      <c r="C90" s="1271"/>
      <c r="D90" s="1271"/>
      <c r="E90" s="1271"/>
      <c r="F90" s="1279"/>
      <c r="G90" s="1325"/>
      <c r="H90" s="1279"/>
      <c r="I90" s="1279"/>
      <c r="J90" s="1325"/>
      <c r="K90" s="1325"/>
      <c r="L90" s="1325"/>
      <c r="M90" s="1434"/>
    </row>
    <row r="91" spans="1:13" s="1057" customFormat="1">
      <c r="A91" s="1203"/>
      <c r="B91" s="1206" t="s">
        <v>68</v>
      </c>
      <c r="D91" s="1271"/>
      <c r="E91" s="1271"/>
      <c r="F91" s="1279"/>
      <c r="G91" s="1325"/>
      <c r="H91" s="1279"/>
      <c r="I91" s="1279"/>
      <c r="J91" s="1325"/>
      <c r="K91" s="1325"/>
      <c r="L91" s="1325"/>
      <c r="M91" s="1434"/>
    </row>
    <row r="92" spans="1:13" s="1057" customFormat="1">
      <c r="A92" s="1203"/>
      <c r="B92" s="1206"/>
      <c r="D92" s="1271"/>
      <c r="E92" s="1271"/>
      <c r="F92" s="1279"/>
      <c r="G92" s="1325"/>
      <c r="H92" s="1279"/>
      <c r="I92" s="1279"/>
      <c r="J92" s="1325"/>
      <c r="K92" s="1325"/>
      <c r="L92" s="1325"/>
      <c r="M92" s="1434"/>
    </row>
    <row r="93" spans="1:13" s="1057" customFormat="1">
      <c r="A93" s="1203"/>
      <c r="B93" s="1291" t="s">
        <v>138</v>
      </c>
      <c r="C93" s="1271"/>
      <c r="D93" s="1271"/>
      <c r="E93" s="1271"/>
      <c r="F93" s="1289"/>
      <c r="G93" s="1289"/>
      <c r="H93" s="1289"/>
      <c r="I93" s="1289"/>
      <c r="J93" s="1289"/>
      <c r="K93" s="1289"/>
      <c r="L93" s="1289"/>
      <c r="M93" s="1475"/>
    </row>
    <row r="94" spans="1:13" s="1057" customFormat="1">
      <c r="A94" s="1203"/>
      <c r="B94" s="1272"/>
      <c r="C94" s="1271"/>
      <c r="D94" s="1271"/>
      <c r="E94" s="1271"/>
      <c r="F94" s="1271"/>
      <c r="G94" s="1271"/>
      <c r="H94" s="1271"/>
      <c r="I94" s="1271"/>
      <c r="J94" s="1271"/>
      <c r="K94" s="1271"/>
      <c r="L94" s="1271"/>
      <c r="M94" s="1476"/>
    </row>
    <row r="95" spans="1:13" s="1057" customFormat="1">
      <c r="A95" s="1203"/>
      <c r="M95" s="1061"/>
    </row>
    <row r="96" spans="1:13" s="1057" customFormat="1">
      <c r="A96" s="1203"/>
      <c r="M96" s="1061"/>
    </row>
    <row r="97" spans="1:13" s="1057" customFormat="1">
      <c r="A97" s="1203"/>
      <c r="M97" s="1061"/>
    </row>
    <row r="98" spans="1:13" s="1057" customFormat="1">
      <c r="A98" s="1203"/>
      <c r="M98" s="1061"/>
    </row>
    <row r="99" spans="1:13" s="1057" customFormat="1">
      <c r="A99" s="1203"/>
      <c r="M99" s="1061"/>
    </row>
    <row r="100" spans="1:13" s="1057" customFormat="1">
      <c r="A100" s="1203"/>
      <c r="M100" s="1061"/>
    </row>
    <row r="101" spans="1:13" s="1057" customFormat="1">
      <c r="A101" s="1203"/>
      <c r="M101" s="1061"/>
    </row>
    <row r="102" spans="1:13" s="1057" customFormat="1">
      <c r="A102" s="1203"/>
      <c r="M102" s="1061"/>
    </row>
    <row r="103" spans="1:13" s="1057" customFormat="1" ht="15" customHeight="1">
      <c r="A103" s="1203"/>
      <c r="M103" s="1061"/>
    </row>
    <row r="104" spans="1:13" s="1057" customFormat="1" ht="15" customHeight="1">
      <c r="A104" s="1203"/>
      <c r="M104" s="1061"/>
    </row>
    <row r="105" spans="1:13" s="1057" customFormat="1" ht="15" customHeight="1">
      <c r="A105" s="1203"/>
      <c r="M105" s="1061"/>
    </row>
    <row r="106" spans="1:13" s="1057" customFormat="1" ht="15" customHeight="1">
      <c r="A106" s="1203"/>
      <c r="M106" s="1061"/>
    </row>
    <row r="107" spans="1:13" s="1057" customFormat="1" ht="15" customHeight="1">
      <c r="A107" s="1203"/>
      <c r="M107" s="1061"/>
    </row>
    <row r="108" spans="1:13" s="1057" customFormat="1" ht="15" customHeight="1">
      <c r="A108" s="1203"/>
      <c r="M108" s="1061"/>
    </row>
    <row r="109" spans="1:13" s="1057" customFormat="1">
      <c r="A109" s="1203"/>
      <c r="M109" s="1061"/>
    </row>
    <row r="110" spans="1:13" s="1057" customFormat="1">
      <c r="A110" s="1203"/>
      <c r="M110" s="1061"/>
    </row>
    <row r="111" spans="1:13" s="1057" customFormat="1">
      <c r="A111" s="1203"/>
      <c r="M111" s="1061"/>
    </row>
    <row r="112" spans="1:13" s="1057" customFormat="1">
      <c r="A112" s="1203"/>
      <c r="M112" s="1061"/>
    </row>
    <row r="113" spans="1:13" s="1057" customFormat="1">
      <c r="A113" s="1203"/>
      <c r="G113" s="1202"/>
      <c r="H113" s="1201"/>
      <c r="M113" s="1061"/>
    </row>
    <row r="114" spans="1:13" s="1057" customFormat="1">
      <c r="A114" s="1203"/>
      <c r="G114" s="1202"/>
      <c r="H114" s="1201"/>
      <c r="M114" s="1061"/>
    </row>
    <row r="115" spans="1:13" s="1057" customFormat="1">
      <c r="A115" s="1203"/>
      <c r="G115" s="1202"/>
      <c r="H115" s="1201"/>
      <c r="M115" s="1061"/>
    </row>
    <row r="116" spans="1:13" s="1057" customFormat="1">
      <c r="A116" s="1203"/>
      <c r="G116" s="1202"/>
      <c r="H116" s="1201"/>
      <c r="M116" s="1061"/>
    </row>
    <row r="117" spans="1:13" s="1057" customFormat="1">
      <c r="A117" s="1203"/>
      <c r="G117" s="1202"/>
      <c r="H117" s="1201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 ht="15.75" thickBot="1">
      <c r="A125" s="1270"/>
      <c r="M125" s="1061"/>
    </row>
    <row r="126" spans="1:13" s="1057" customFormat="1" ht="15" customHeight="1">
      <c r="A126" s="1066"/>
      <c r="B126" s="1816" t="s">
        <v>192</v>
      </c>
      <c r="C126" s="1816"/>
      <c r="D126" s="1816"/>
      <c r="E126" s="1816"/>
      <c r="F126" s="1816"/>
      <c r="G126" s="1816"/>
      <c r="H126" s="1816"/>
      <c r="I126" s="1816"/>
      <c r="J126" s="1816"/>
      <c r="K126" s="1816"/>
      <c r="L126" s="1816"/>
      <c r="M126" s="1849"/>
    </row>
    <row r="127" spans="1:13" s="1057" customFormat="1">
      <c r="A127" s="1063"/>
      <c r="B127" s="1817"/>
      <c r="C127" s="1817"/>
      <c r="D127" s="1817"/>
      <c r="E127" s="1817"/>
      <c r="F127" s="1817"/>
      <c r="G127" s="1817"/>
      <c r="H127" s="1817"/>
      <c r="I127" s="1817"/>
      <c r="J127" s="1817"/>
      <c r="K127" s="1817"/>
      <c r="L127" s="1817"/>
      <c r="M127" s="1850"/>
    </row>
    <row r="128" spans="1:13" s="1057" customFormat="1">
      <c r="A128" s="1063"/>
      <c r="B128" s="1817"/>
      <c r="C128" s="1817"/>
      <c r="D128" s="1817"/>
      <c r="E128" s="1817"/>
      <c r="F128" s="1817"/>
      <c r="G128" s="1817"/>
      <c r="H128" s="1817"/>
      <c r="I128" s="1817"/>
      <c r="J128" s="1817"/>
      <c r="K128" s="1817"/>
      <c r="L128" s="1817"/>
      <c r="M128" s="1850"/>
    </row>
    <row r="129" spans="1:13" s="1057" customFormat="1" ht="15.75" thickBot="1">
      <c r="A129" s="1060"/>
      <c r="B129" s="1818"/>
      <c r="C129" s="1818"/>
      <c r="D129" s="1818"/>
      <c r="E129" s="1818"/>
      <c r="F129" s="1818"/>
      <c r="G129" s="1818"/>
      <c r="H129" s="1818"/>
      <c r="I129" s="1818"/>
      <c r="J129" s="1818"/>
      <c r="K129" s="1818"/>
      <c r="L129" s="1818"/>
      <c r="M129" s="1851"/>
    </row>
  </sheetData>
  <mergeCells count="49"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  <mergeCell ref="C52:D52"/>
    <mergeCell ref="B47:B52"/>
    <mergeCell ref="E54:I54"/>
    <mergeCell ref="E45:I45"/>
    <mergeCell ref="C57:D57"/>
    <mergeCell ref="B54:D54"/>
    <mergeCell ref="B55:D55"/>
    <mergeCell ref="C56:D56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B76:B77"/>
    <mergeCell ref="C76:D76"/>
    <mergeCell ref="C77:D77"/>
    <mergeCell ref="B126:M129"/>
    <mergeCell ref="C78:D78"/>
    <mergeCell ref="C58:D58"/>
    <mergeCell ref="C59:D59"/>
    <mergeCell ref="C60:D60"/>
    <mergeCell ref="C61:D61"/>
    <mergeCell ref="C62:D62"/>
    <mergeCell ref="K2:L2"/>
    <mergeCell ref="K3:L3"/>
    <mergeCell ref="A10:M11"/>
    <mergeCell ref="O10:Q10"/>
    <mergeCell ref="C12:E12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margins!$A$144:$A$150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margins!$A$180:$A$181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margins!$A$152:$A$153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margins!$A$141:$A$142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margins!$A$116:$A$117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margins!$A$119:$A$120</xm:f>
          </x14:formula1>
          <xm:sqref>P19</xm:sqref>
        </x14:dataValidation>
        <x14:dataValidation type="list" allowBlank="1" showInputMessage="1" showErrorMessage="1" xr:uid="{13BDB6E8-D203-4683-A644-489C045256E3}">
          <x14:formula1>
            <xm:f>margins!$AT$126:$AT$128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margins!$AT$141:$AT$145</xm:f>
          </x14:formula1>
          <xm:sqref>P24</xm:sqref>
        </x14:dataValidation>
        <x14:dataValidation type="list" allowBlank="1" showInputMessage="1" showErrorMessage="1" xr:uid="{56842E70-2FF8-4D50-BAA0-D5893C4302E6}">
          <x14:formula1>
            <xm:f>margins!$C$119:$C$122</xm:f>
          </x14:formula1>
          <xm:sqref>P28</xm:sqref>
        </x14:dataValidation>
        <x14:dataValidation type="list" allowBlank="1" showInputMessage="1" showErrorMessage="1" xr:uid="{FE51955E-9936-4DDE-B78E-9CBF7C9BE37A}">
          <x14:formula1>
            <xm:f>margins!$AT$117:$AT$123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margins!$AT$153:$AT$154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margins!$AT$160:$AT$166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7" zoomScaleNormal="130" workbookViewId="0">
      <selection activeCell="I29" sqref="I29:O29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2"/>
      <c r="B2" s="1643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342"/>
      <c r="P2" s="343"/>
    </row>
    <row r="3" spans="1:16" ht="9.9499999999999993" customHeight="1">
      <c r="A3" s="1645"/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6"/>
      <c r="D6" s="1646"/>
      <c r="E6" s="1646"/>
      <c r="F6" s="1646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7"/>
      <c r="D7" s="1647"/>
      <c r="E7" s="1647"/>
      <c r="F7" s="1647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8"/>
      <c r="D8" s="1648"/>
      <c r="E8" s="1648"/>
      <c r="F8" s="1648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9" t="s">
        <v>361</v>
      </c>
      <c r="G9" s="1649"/>
      <c r="H9" s="1650">
        <v>45978</v>
      </c>
      <c r="I9" s="1650"/>
      <c r="J9" s="1650"/>
      <c r="K9" s="1650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1"/>
      <c r="D10" s="1651"/>
      <c r="E10" s="1651"/>
      <c r="F10" s="1651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2" t="s">
        <v>541</v>
      </c>
      <c r="C12" s="1652"/>
      <c r="D12" s="1652"/>
      <c r="E12" s="1652"/>
      <c r="F12" s="1652"/>
      <c r="G12" s="1652"/>
      <c r="H12" s="1652"/>
      <c r="I12" s="1652"/>
      <c r="J12" s="1652"/>
      <c r="K12" s="1652"/>
      <c r="L12" s="1652"/>
      <c r="M12" s="1652"/>
      <c r="N12" s="1652"/>
      <c r="O12" s="1652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3" t="s">
        <v>173</v>
      </c>
      <c r="C14" s="1654"/>
      <c r="D14" s="1654"/>
      <c r="E14" s="1654"/>
      <c r="F14" s="1654"/>
      <c r="G14" s="1655"/>
      <c r="H14" s="368"/>
      <c r="I14" s="1653" t="s">
        <v>174</v>
      </c>
      <c r="J14" s="1654"/>
      <c r="K14" s="1654"/>
      <c r="L14" s="1654"/>
      <c r="M14" s="1654"/>
      <c r="N14" s="1654"/>
      <c r="O14" s="1655"/>
      <c r="P14" s="369"/>
    </row>
    <row r="15" spans="1:16" ht="9.9499999999999993" customHeight="1">
      <c r="A15" s="367"/>
      <c r="B15" s="1656"/>
      <c r="C15" s="1657"/>
      <c r="D15" s="1657"/>
      <c r="E15" s="1657"/>
      <c r="F15" s="1657"/>
      <c r="G15" s="1658"/>
      <c r="H15" s="368"/>
      <c r="I15" s="1656"/>
      <c r="J15" s="1657"/>
      <c r="K15" s="1657"/>
      <c r="L15" s="1657"/>
      <c r="M15" s="1657"/>
      <c r="N15" s="1657"/>
      <c r="O15" s="1658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9" t="s">
        <v>284</v>
      </c>
      <c r="K16" s="1660"/>
      <c r="L16" s="1660"/>
      <c r="M16" s="1661"/>
      <c r="N16" s="166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60"/>
      <c r="K17" s="1660"/>
      <c r="L17" s="1660"/>
      <c r="M17" s="1661"/>
      <c r="N17" s="166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60"/>
      <c r="K18" s="1660"/>
      <c r="L18" s="1660"/>
      <c r="M18" s="1661"/>
      <c r="N18" s="1662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682</v>
      </c>
      <c r="E19" s="379"/>
      <c r="F19" s="384"/>
      <c r="G19" s="385"/>
      <c r="H19" s="368"/>
      <c r="I19" s="376"/>
      <c r="J19" s="1660"/>
      <c r="K19" s="1660"/>
      <c r="L19" s="1660"/>
      <c r="M19" s="1661"/>
      <c r="N19" s="166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60"/>
      <c r="K20" s="1660"/>
      <c r="L20" s="1660"/>
      <c r="M20" s="1661"/>
      <c r="N20" s="166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60"/>
      <c r="K21" s="1660"/>
      <c r="L21" s="1660"/>
      <c r="M21" s="1661"/>
      <c r="N21" s="166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60"/>
      <c r="K22" s="1660"/>
      <c r="L22" s="1660"/>
      <c r="M22" s="1661"/>
      <c r="N22" s="166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3"/>
      <c r="K23" s="1663"/>
      <c r="L23" s="1663"/>
      <c r="M23" s="1664"/>
      <c r="N23" s="166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3" t="s">
        <v>181</v>
      </c>
      <c r="C25" s="1654"/>
      <c r="D25" s="1654"/>
      <c r="E25" s="1654"/>
      <c r="F25" s="1654"/>
      <c r="G25" s="1655"/>
      <c r="H25" s="391"/>
      <c r="I25" s="1653" t="s">
        <v>358</v>
      </c>
      <c r="J25" s="1654"/>
      <c r="K25" s="1654"/>
      <c r="L25" s="1654"/>
      <c r="M25" s="1654"/>
      <c r="N25" s="1654"/>
      <c r="O25" s="1655"/>
      <c r="P25" s="369"/>
    </row>
    <row r="26" spans="1:17" ht="9.9499999999999993" customHeight="1">
      <c r="A26" s="367"/>
      <c r="B26" s="1656"/>
      <c r="C26" s="1657"/>
      <c r="D26" s="1657"/>
      <c r="E26" s="1657"/>
      <c r="F26" s="1657"/>
      <c r="G26" s="1658"/>
      <c r="H26" s="391"/>
      <c r="I26" s="1656"/>
      <c r="J26" s="1657"/>
      <c r="K26" s="1657"/>
      <c r="L26" s="1657"/>
      <c r="M26" s="1657"/>
      <c r="N26" s="1657"/>
      <c r="O26" s="1658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6" t="s">
        <v>515</v>
      </c>
      <c r="D28" s="1667"/>
      <c r="E28" s="1667"/>
      <c r="F28" s="1667"/>
      <c r="G28" s="393"/>
      <c r="H28" s="368"/>
      <c r="I28" s="1668" t="s">
        <v>732</v>
      </c>
      <c r="J28" s="1669"/>
      <c r="K28" s="1669"/>
      <c r="L28" s="1669"/>
      <c r="M28" s="1669"/>
      <c r="N28" s="1669"/>
      <c r="O28" s="1670"/>
      <c r="P28" s="369"/>
    </row>
    <row r="29" spans="1:17" ht="11.25" customHeight="1">
      <c r="A29" s="367"/>
      <c r="B29" s="402"/>
      <c r="C29" s="666" t="s">
        <v>516</v>
      </c>
      <c r="D29" s="396"/>
      <c r="E29" s="396"/>
      <c r="F29" s="124"/>
      <c r="G29" s="125" t="s">
        <v>182</v>
      </c>
      <c r="H29" s="368"/>
      <c r="I29" s="1668" t="s">
        <v>418</v>
      </c>
      <c r="J29" s="1669"/>
      <c r="K29" s="1669"/>
      <c r="L29" s="1669"/>
      <c r="M29" s="1669"/>
      <c r="N29" s="1669"/>
      <c r="O29" s="1670"/>
      <c r="P29" s="369"/>
      <c r="Q29" s="493"/>
    </row>
    <row r="30" spans="1:17" ht="13.5" customHeight="1">
      <c r="A30" s="367"/>
      <c r="B30" s="402"/>
      <c r="C30" s="666" t="s">
        <v>517</v>
      </c>
      <c r="D30" s="396"/>
      <c r="E30" s="396"/>
      <c r="F30" s="124"/>
      <c r="G30" s="125" t="s">
        <v>183</v>
      </c>
      <c r="H30" s="368"/>
      <c r="I30" s="419"/>
      <c r="J30" s="1671" t="s">
        <v>417</v>
      </c>
      <c r="K30" s="1671"/>
      <c r="L30" s="1671"/>
      <c r="M30" s="1671"/>
      <c r="N30" s="1671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2" t="s">
        <v>184</v>
      </c>
      <c r="F38" s="1673"/>
      <c r="G38" s="1673"/>
      <c r="H38" s="1673"/>
      <c r="I38" s="1673"/>
      <c r="J38" s="1673"/>
      <c r="K38" s="1673"/>
      <c r="L38" s="1673"/>
      <c r="O38" s="380"/>
      <c r="P38" s="369"/>
    </row>
    <row r="39" spans="1:16" ht="9.9499999999999993" customHeight="1">
      <c r="A39" s="367"/>
      <c r="B39" s="402"/>
      <c r="C39" s="439"/>
      <c r="D39" s="125"/>
      <c r="E39" s="1672"/>
      <c r="F39" s="1673"/>
      <c r="G39" s="1673"/>
      <c r="H39" s="1673"/>
      <c r="I39" s="1673"/>
      <c r="J39" s="1673"/>
      <c r="K39" s="1673"/>
      <c r="L39" s="1673"/>
      <c r="O39" s="380"/>
      <c r="P39" s="369"/>
    </row>
    <row r="40" spans="1:16" ht="9.9499999999999993" customHeight="1">
      <c r="A40" s="367"/>
      <c r="B40" s="402"/>
      <c r="C40" s="428"/>
      <c r="D40" s="125"/>
      <c r="E40" s="1674" t="s">
        <v>360</v>
      </c>
      <c r="F40" s="1675"/>
      <c r="G40" s="1675"/>
      <c r="H40" s="1675"/>
      <c r="I40" s="1675"/>
      <c r="J40" s="1675"/>
      <c r="K40" s="1675"/>
      <c r="L40" s="1676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9" t="s">
        <v>31</v>
      </c>
      <c r="F46" s="1690"/>
      <c r="G46" s="1690"/>
      <c r="H46" s="1690"/>
      <c r="I46" s="1690"/>
      <c r="J46" s="1690"/>
      <c r="K46" s="1690"/>
      <c r="L46" s="1691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2" t="s">
        <v>186</v>
      </c>
      <c r="C48" s="1693"/>
      <c r="D48" s="1693"/>
      <c r="E48" s="1693"/>
      <c r="F48" s="1693"/>
      <c r="G48" s="1693"/>
      <c r="H48" s="1693"/>
      <c r="I48" s="1693"/>
      <c r="J48" s="1693"/>
      <c r="K48" s="1693"/>
      <c r="L48" s="1693"/>
      <c r="M48" s="1693"/>
      <c r="N48" s="1693"/>
      <c r="O48" s="1694"/>
      <c r="P48" s="369"/>
    </row>
    <row r="49" spans="1:16" ht="9.9499999999999993" customHeight="1">
      <c r="A49" s="367"/>
      <c r="B49" s="1672"/>
      <c r="C49" s="1673"/>
      <c r="D49" s="1673"/>
      <c r="E49" s="1673"/>
      <c r="F49" s="1673"/>
      <c r="G49" s="1673"/>
      <c r="H49" s="1673"/>
      <c r="I49" s="1673"/>
      <c r="J49" s="1673"/>
      <c r="K49" s="1673"/>
      <c r="L49" s="1673"/>
      <c r="M49" s="1673"/>
      <c r="N49" s="1673"/>
      <c r="O49" s="1695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382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1"/>
      <c r="G55" s="1681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2"/>
      <c r="C57" s="1696"/>
      <c r="D57" s="1696"/>
      <c r="E57" s="1696"/>
      <c r="F57" s="1696"/>
      <c r="G57" s="1696"/>
      <c r="H57" s="1696"/>
      <c r="I57" s="1696"/>
      <c r="J57" s="1696"/>
      <c r="K57" s="1696"/>
      <c r="L57" s="1696"/>
      <c r="M57" s="1696"/>
      <c r="N57" s="1696"/>
      <c r="O57" s="1697"/>
      <c r="P57" s="395"/>
    </row>
    <row r="58" spans="1:16" ht="9.9499999999999993" customHeight="1">
      <c r="A58" s="394"/>
      <c r="B58" s="1698"/>
      <c r="C58" s="1699"/>
      <c r="D58" s="1699"/>
      <c r="E58" s="1699"/>
      <c r="F58" s="1699"/>
      <c r="G58" s="1699"/>
      <c r="H58" s="1699"/>
      <c r="I58" s="1699"/>
      <c r="J58" s="1699"/>
      <c r="K58" s="1699"/>
      <c r="L58" s="1699"/>
      <c r="M58" s="1699"/>
      <c r="N58" s="1699"/>
      <c r="O58" s="1700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0"/>
      <c r="D61" s="1820"/>
      <c r="E61" s="1820"/>
      <c r="F61" s="1820"/>
      <c r="G61" s="1820"/>
      <c r="H61" s="1820"/>
      <c r="I61" s="1820"/>
      <c r="J61" s="1820"/>
      <c r="K61" s="1820"/>
      <c r="L61" s="1820"/>
      <c r="M61" s="1820"/>
      <c r="N61" s="1820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2" t="s">
        <v>189</v>
      </c>
      <c r="C72" s="1703"/>
      <c r="D72" s="1703"/>
      <c r="E72" s="1703"/>
      <c r="F72" s="1703"/>
      <c r="G72" s="1703"/>
      <c r="H72" s="1703"/>
      <c r="I72" s="1703"/>
      <c r="J72" s="1703"/>
      <c r="K72" s="1703"/>
      <c r="L72" s="1703"/>
      <c r="M72" s="1703"/>
      <c r="N72" s="1703"/>
      <c r="O72" s="1704"/>
    </row>
    <row r="73" spans="1:16">
      <c r="B73" s="1705"/>
      <c r="C73" s="1706"/>
      <c r="D73" s="1706"/>
      <c r="E73" s="1706"/>
      <c r="F73" s="1706"/>
      <c r="G73" s="1706"/>
      <c r="H73" s="1706"/>
      <c r="I73" s="1706"/>
      <c r="J73" s="1706"/>
      <c r="K73" s="1706"/>
      <c r="L73" s="1706"/>
      <c r="M73" s="1706"/>
      <c r="N73" s="1706"/>
      <c r="O73" s="1707"/>
    </row>
    <row r="74" spans="1:16">
      <c r="B74" s="1677" t="s">
        <v>190</v>
      </c>
      <c r="C74" s="1678"/>
      <c r="D74" s="1678"/>
      <c r="E74" s="1678"/>
      <c r="F74" s="1678"/>
      <c r="G74" s="1678"/>
      <c r="H74" s="1678"/>
      <c r="I74" s="1678"/>
      <c r="J74" s="1678"/>
      <c r="K74" s="1678"/>
      <c r="L74" s="1678"/>
      <c r="M74" s="1678"/>
      <c r="N74" s="1678"/>
      <c r="O74" s="1679"/>
    </row>
    <row r="75" spans="1:16" ht="9.9499999999999993" customHeight="1">
      <c r="B75" s="1680" t="s">
        <v>191</v>
      </c>
      <c r="C75" s="1681"/>
      <c r="D75" s="1681"/>
      <c r="E75" s="1681"/>
      <c r="F75" s="1681"/>
      <c r="G75" s="1681"/>
      <c r="H75" s="1681"/>
      <c r="I75" s="1681"/>
      <c r="J75" s="1681"/>
      <c r="K75" s="1681"/>
      <c r="L75" s="1681"/>
      <c r="M75" s="1681"/>
      <c r="N75" s="1681"/>
      <c r="O75" s="1682"/>
    </row>
    <row r="76" spans="1:16" ht="13.5" customHeight="1">
      <c r="B76" s="1683" t="s">
        <v>192</v>
      </c>
      <c r="C76" s="1684"/>
      <c r="D76" s="1684"/>
      <c r="E76" s="1684"/>
      <c r="F76" s="1684"/>
      <c r="G76" s="1684"/>
      <c r="H76" s="1684"/>
      <c r="I76" s="1684"/>
      <c r="J76" s="1684"/>
      <c r="K76" s="1684"/>
      <c r="L76" s="1684"/>
      <c r="M76" s="1684"/>
      <c r="N76" s="1684"/>
      <c r="O76" s="1685"/>
    </row>
    <row r="77" spans="1:16">
      <c r="B77" s="1686"/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8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R66"/>
  <sheetViews>
    <sheetView showGridLines="0" workbookViewId="0">
      <selection activeCell="I29" sqref="I29:O29"/>
    </sheetView>
  </sheetViews>
  <sheetFormatPr defaultColWidth="8.7109375" defaultRowHeight="12.75"/>
  <cols>
    <col min="1" max="1" width="14.5703125" style="742" customWidth="1"/>
    <col min="2" max="2" width="13.28515625" style="742" customWidth="1"/>
    <col min="3" max="3" width="13.42578125" style="742" customWidth="1"/>
    <col min="4" max="4" width="1.85546875" style="742" customWidth="1"/>
    <col min="5" max="5" width="16.140625" style="742" bestFit="1" customWidth="1"/>
    <col min="6" max="6" width="36" style="742" customWidth="1"/>
    <col min="7" max="7" width="22.42578125" style="742" bestFit="1" customWidth="1"/>
    <col min="8" max="11" width="14.28515625" style="742" customWidth="1"/>
    <col min="12" max="12" width="13.5703125" style="742" customWidth="1"/>
    <col min="13" max="14" width="1.85546875" style="742" customWidth="1"/>
    <col min="15" max="15" width="1.7109375" style="742" customWidth="1"/>
    <col min="16" max="16" width="19.140625" style="742" customWidth="1"/>
    <col min="17" max="17" width="20.42578125" style="742" bestFit="1" customWidth="1"/>
    <col min="18" max="18" width="20" style="742" bestFit="1" customWidth="1"/>
    <col min="19" max="16384" width="8.7109375" style="742"/>
  </cols>
  <sheetData>
    <row r="1" spans="1:18" customFormat="1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8" customFormat="1" ht="26.25">
      <c r="A2" s="40"/>
      <c r="B2" s="41"/>
      <c r="C2" s="1792" t="s">
        <v>516</v>
      </c>
      <c r="D2" s="1792"/>
      <c r="E2" s="1792"/>
      <c r="F2" s="1792"/>
      <c r="G2" s="1792"/>
      <c r="H2" s="1792"/>
      <c r="I2" s="1792"/>
      <c r="J2" s="1792"/>
      <c r="K2" s="1792"/>
      <c r="L2" s="1792"/>
      <c r="O2" s="75"/>
    </row>
    <row r="3" spans="1:18" customFormat="1" ht="31.5" thickBot="1">
      <c r="A3" s="42"/>
      <c r="B3" s="43"/>
      <c r="C3" s="45"/>
      <c r="D3" s="45"/>
      <c r="E3" s="45"/>
      <c r="F3" s="45"/>
      <c r="G3" s="45"/>
      <c r="H3" s="45"/>
      <c r="I3" s="45"/>
      <c r="J3" s="45"/>
      <c r="K3" s="45"/>
      <c r="L3" s="45"/>
      <c r="O3" s="75"/>
    </row>
    <row r="4" spans="1:18" customFormat="1" ht="31.5" thickBot="1">
      <c r="A4" s="47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O4" s="75"/>
      <c r="P4" s="75"/>
      <c r="Q4" s="75"/>
      <c r="R4" s="75"/>
    </row>
    <row r="5" spans="1:18" customFormat="1" ht="15.7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O5" s="75"/>
      <c r="P5" s="477" t="s">
        <v>601</v>
      </c>
      <c r="Q5" s="478"/>
      <c r="R5" s="1577">
        <v>45978.399699074071</v>
      </c>
    </row>
    <row r="6" spans="1:18" ht="19.5" thickBot="1">
      <c r="A6" s="776"/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1"/>
      <c r="Q6" s="1"/>
      <c r="R6" s="1"/>
    </row>
    <row r="7" spans="1:18" ht="15.75" customHeight="1" thickBot="1">
      <c r="A7" s="1826" t="s">
        <v>578</v>
      </c>
      <c r="B7" s="1827"/>
      <c r="C7" s="1828"/>
      <c r="D7" s="1019"/>
      <c r="E7" s="1052"/>
      <c r="F7" s="1018" t="s">
        <v>443</v>
      </c>
      <c r="G7" s="1399" t="s">
        <v>444</v>
      </c>
      <c r="H7"/>
      <c r="I7"/>
      <c r="J7"/>
      <c r="K7"/>
      <c r="L7" s="776"/>
      <c r="M7" s="1010"/>
      <c r="N7" s="1010"/>
      <c r="P7" s="494" t="s">
        <v>207</v>
      </c>
      <c r="Q7" s="495" t="s">
        <v>208</v>
      </c>
      <c r="R7" s="495" t="s">
        <v>209</v>
      </c>
    </row>
    <row r="8" spans="1:18" ht="19.5" thickBot="1">
      <c r="A8" s="1020" t="s">
        <v>3</v>
      </c>
      <c r="B8" s="1021" t="s">
        <v>579</v>
      </c>
      <c r="C8" s="1021" t="s">
        <v>420</v>
      </c>
      <c r="D8" s="1022"/>
      <c r="E8" s="1053" t="s">
        <v>217</v>
      </c>
      <c r="F8" s="1054">
        <v>30</v>
      </c>
      <c r="G8" s="1400">
        <v>-0.375</v>
      </c>
      <c r="H8"/>
      <c r="I8"/>
      <c r="J8"/>
      <c r="K8"/>
      <c r="L8" s="776"/>
      <c r="M8"/>
      <c r="N8" s="994"/>
      <c r="P8" s="471"/>
      <c r="Q8" s="471"/>
      <c r="R8" s="471"/>
    </row>
    <row r="9" spans="1:18" ht="15" customHeight="1" thickBot="1">
      <c r="A9" s="1026">
        <f>margins!CM3</f>
        <v>6.4989999999999997</v>
      </c>
      <c r="B9" s="1026">
        <f>margins!CO3-margins!CP3</f>
        <v>95.621875000000003</v>
      </c>
      <c r="C9" s="1026">
        <f>margins!CO3-margins!CP3</f>
        <v>95.621875000000003</v>
      </c>
      <c r="D9" s="1027"/>
      <c r="E9" s="1046"/>
      <c r="F9" s="1046"/>
      <c r="G9" s="1046"/>
      <c r="H9"/>
      <c r="I9"/>
      <c r="J9"/>
      <c r="K9"/>
      <c r="L9" s="776"/>
      <c r="M9"/>
      <c r="N9" s="753"/>
      <c r="P9" s="480" t="s">
        <v>210</v>
      </c>
      <c r="Q9" s="659" t="s">
        <v>420</v>
      </c>
      <c r="R9" s="709"/>
    </row>
    <row r="10" spans="1:18" ht="15" customHeight="1" thickBot="1">
      <c r="A10" s="1026">
        <f>margins!CM4</f>
        <v>6.6239999999999997</v>
      </c>
      <c r="B10" s="1026">
        <f>margins!CO4-margins!CP4</f>
        <v>96.153125000000003</v>
      </c>
      <c r="C10" s="1026">
        <f>margins!CO4-margins!CP4</f>
        <v>96.153125000000003</v>
      </c>
      <c r="D10" s="1027"/>
      <c r="E10" s="1413" t="s">
        <v>97</v>
      </c>
      <c r="F10" s="1414" t="s">
        <v>723</v>
      </c>
      <c r="G10" s="1415" t="s">
        <v>724</v>
      </c>
      <c r="I10" s="2046" t="s">
        <v>103</v>
      </c>
      <c r="J10" s="2047"/>
      <c r="K10" s="2047"/>
      <c r="L10" s="2048"/>
      <c r="M10"/>
      <c r="N10" s="753"/>
      <c r="P10" s="481" t="s">
        <v>211</v>
      </c>
      <c r="Q10" s="661">
        <v>8.6240000000000006</v>
      </c>
      <c r="R10" s="489">
        <f>IF(Q9="30 Yr Fixed",VLOOKUP(Q10,$A$8:$C$45,3,FALSE),VLOOKUP(Q10,$A$8:$C$45,2,FALSE))</f>
        <v>102.825</v>
      </c>
    </row>
    <row r="11" spans="1:18" ht="15">
      <c r="A11" s="1026">
        <f>margins!CM5</f>
        <v>6.7489999999999997</v>
      </c>
      <c r="B11" s="1026">
        <f>margins!CO5-margins!CP5</f>
        <v>96.684375000000003</v>
      </c>
      <c r="C11" s="1026">
        <f>margins!CO5-margins!CP5</f>
        <v>96.684375000000003</v>
      </c>
      <c r="D11" s="1027"/>
      <c r="E11" s="59" t="s">
        <v>99</v>
      </c>
      <c r="F11" s="60">
        <v>99.75</v>
      </c>
      <c r="G11" s="61">
        <v>98.75</v>
      </c>
      <c r="I11" s="1797" t="s">
        <v>708</v>
      </c>
      <c r="J11" s="1798"/>
      <c r="K11" s="1798"/>
      <c r="L11" s="1799"/>
      <c r="M11"/>
      <c r="N11" s="753"/>
      <c r="P11" s="481" t="s">
        <v>386</v>
      </c>
      <c r="Q11" s="661" t="s">
        <v>18</v>
      </c>
      <c r="R11" s="489"/>
    </row>
    <row r="12" spans="1:18" ht="15">
      <c r="A12" s="1026">
        <f>margins!CM6</f>
        <v>6.8739999999999997</v>
      </c>
      <c r="B12" s="1026">
        <f>margins!CO6-margins!CP6</f>
        <v>97.215625000000003</v>
      </c>
      <c r="C12" s="1026">
        <f>margins!CO6-margins!CP6</f>
        <v>97.215625000000003</v>
      </c>
      <c r="D12" s="1027"/>
      <c r="E12" s="59" t="s">
        <v>100</v>
      </c>
      <c r="F12" s="60">
        <v>99.75</v>
      </c>
      <c r="G12" s="61">
        <v>98.75</v>
      </c>
      <c r="I12" s="1797" t="s">
        <v>709</v>
      </c>
      <c r="J12" s="1798"/>
      <c r="K12" s="1798"/>
      <c r="L12" s="1799"/>
      <c r="M12"/>
      <c r="N12" s="753"/>
      <c r="P12" s="481" t="s">
        <v>212</v>
      </c>
      <c r="Q12" s="661" t="s">
        <v>116</v>
      </c>
      <c r="R12" s="489">
        <f>IFERROR(INDEX($G$20:$L$23,MATCH(Q12,$F$20:$F$23,0),MATCH($Q$11,$G$19:$L$19,0),1),0)</f>
        <v>0.875</v>
      </c>
    </row>
    <row r="13" spans="1:18" ht="15">
      <c r="A13" s="1026">
        <f>margins!CM7</f>
        <v>6.9979999999999993</v>
      </c>
      <c r="B13" s="1026">
        <f>margins!CO7-margins!CP7</f>
        <v>97.746875000000003</v>
      </c>
      <c r="C13" s="1026">
        <f>margins!CO7-margins!CP7</f>
        <v>97.746875000000003</v>
      </c>
      <c r="D13" s="1027"/>
      <c r="E13" s="59" t="s">
        <v>7</v>
      </c>
      <c r="F13" s="60">
        <v>99.75</v>
      </c>
      <c r="G13" s="61">
        <v>98.75</v>
      </c>
      <c r="I13" s="1401" t="s">
        <v>710</v>
      </c>
      <c r="J13" s="1402"/>
      <c r="K13" s="1402"/>
      <c r="L13" s="1403"/>
      <c r="M13"/>
      <c r="N13" s="753"/>
      <c r="P13" s="481" t="s">
        <v>114</v>
      </c>
      <c r="Q13" s="661" t="s">
        <v>167</v>
      </c>
      <c r="R13" s="489">
        <f>IFERROR(INDEX($G$26:$L$27,MATCH(Q13,$F$26:$F$27,0),MATCH($Q$11,$G$25:$L$25,0),1),0)</f>
        <v>-0.5</v>
      </c>
    </row>
    <row r="14" spans="1:18" ht="15.75" thickBot="1">
      <c r="A14" s="1026">
        <f>margins!CM8</f>
        <v>7.1239999999999997</v>
      </c>
      <c r="B14" s="1026">
        <f>margins!CO8-margins!CP8</f>
        <v>98.278125000000003</v>
      </c>
      <c r="C14" s="1026">
        <f>margins!CO8-margins!CP8</f>
        <v>98.278125000000003</v>
      </c>
      <c r="D14" s="1027"/>
      <c r="E14" s="59" t="s">
        <v>9</v>
      </c>
      <c r="F14" s="60" t="s">
        <v>14</v>
      </c>
      <c r="G14" s="61" t="s">
        <v>14</v>
      </c>
      <c r="I14" s="1809" t="s">
        <v>685</v>
      </c>
      <c r="J14" s="1810"/>
      <c r="K14" s="1810"/>
      <c r="L14" s="1811"/>
      <c r="M14"/>
      <c r="N14" s="753"/>
      <c r="P14" s="481" t="s">
        <v>210</v>
      </c>
      <c r="Q14" s="661" t="s">
        <v>203</v>
      </c>
      <c r="R14" s="489">
        <f t="shared" ref="R14:R20" si="0">IFERROR(INDEX($G$31:$L$53,MATCH(Q14,$F$31:$F$53,0),MATCH($Q$11,$G$30:$L$30,0),1),0)</f>
        <v>0</v>
      </c>
    </row>
    <row r="15" spans="1:18" ht="15" customHeight="1">
      <c r="A15" s="1026">
        <f>margins!CM9</f>
        <v>7.2489999999999997</v>
      </c>
      <c r="B15" s="1026">
        <f>margins!CO9-margins!CP9</f>
        <v>98.809375000000003</v>
      </c>
      <c r="C15" s="1026">
        <f>margins!CO9-margins!CP9</f>
        <v>98.809375000000003</v>
      </c>
      <c r="D15" s="1027"/>
      <c r="E15" s="59" t="s">
        <v>11</v>
      </c>
      <c r="F15" s="60">
        <v>98.25</v>
      </c>
      <c r="G15" s="61">
        <v>98.75</v>
      </c>
      <c r="H15"/>
      <c r="I15"/>
      <c r="J15"/>
      <c r="K15"/>
      <c r="L15" s="776"/>
      <c r="M15" s="753"/>
      <c r="N15" s="753"/>
      <c r="P15" s="481" t="s">
        <v>310</v>
      </c>
      <c r="Q15" s="661" t="s">
        <v>203</v>
      </c>
      <c r="R15" s="489">
        <f t="shared" si="0"/>
        <v>0</v>
      </c>
    </row>
    <row r="16" spans="1:18" ht="19.5" thickBot="1">
      <c r="A16" s="1026">
        <f>margins!CM10</f>
        <v>7.3739999999999997</v>
      </c>
      <c r="B16" s="1026">
        <f>margins!CO10-margins!CP10</f>
        <v>99.325000000000003</v>
      </c>
      <c r="C16" s="1026">
        <f>margins!CO10-margins!CP10</f>
        <v>99.325000000000003</v>
      </c>
      <c r="D16" s="1027"/>
      <c r="E16" s="62" t="s">
        <v>101</v>
      </c>
      <c r="F16" s="1412">
        <v>98.25</v>
      </c>
      <c r="G16" s="63">
        <v>98.25</v>
      </c>
      <c r="H16"/>
      <c r="I16"/>
      <c r="J16"/>
      <c r="K16"/>
      <c r="L16" s="776"/>
      <c r="M16" s="753"/>
      <c r="N16" s="753"/>
      <c r="P16" s="481" t="s">
        <v>56</v>
      </c>
      <c r="Q16" s="661" t="s">
        <v>203</v>
      </c>
      <c r="R16" s="489">
        <f t="shared" si="0"/>
        <v>0</v>
      </c>
    </row>
    <row r="17" spans="1:18" ht="15" customHeight="1" thickBot="1">
      <c r="A17" s="1026">
        <f>margins!CM11</f>
        <v>7.4989999999999997</v>
      </c>
      <c r="B17" s="1026">
        <f>margins!CO11-margins!CP11</f>
        <v>99.825000000000003</v>
      </c>
      <c r="C17" s="1026">
        <f>margins!CO11-margins!CP11</f>
        <v>99.825000000000003</v>
      </c>
      <c r="D17" s="1045"/>
      <c r="E17" s="776"/>
      <c r="F17" s="776"/>
      <c r="G17" s="776"/>
      <c r="H17" s="776"/>
      <c r="I17" s="776"/>
      <c r="J17" s="776"/>
      <c r="K17" s="776"/>
      <c r="L17" s="776"/>
      <c r="P17" s="481" t="s">
        <v>339</v>
      </c>
      <c r="Q17" s="661" t="s">
        <v>203</v>
      </c>
      <c r="R17" s="489">
        <f t="shared" si="0"/>
        <v>0</v>
      </c>
    </row>
    <row r="18" spans="1:18" ht="15" customHeight="1" thickBot="1">
      <c r="A18" s="1026">
        <f>margins!CM12</f>
        <v>7.6239999999999997</v>
      </c>
      <c r="B18" s="1026">
        <f>margins!CO12-margins!CP12</f>
        <v>100.325</v>
      </c>
      <c r="C18" s="1026">
        <f>margins!CO12-margins!CP12</f>
        <v>100.325</v>
      </c>
      <c r="D18" s="1027"/>
      <c r="E18" s="2044" t="s">
        <v>457</v>
      </c>
      <c r="F18" s="2045"/>
      <c r="G18" s="2045"/>
      <c r="H18" s="2045"/>
      <c r="I18" s="2045"/>
      <c r="J18" s="2045"/>
      <c r="K18" s="2045"/>
      <c r="L18" s="2045"/>
      <c r="P18" s="481" t="s">
        <v>62</v>
      </c>
      <c r="Q18" s="661" t="s">
        <v>203</v>
      </c>
      <c r="R18" s="489">
        <f t="shared" si="0"/>
        <v>0</v>
      </c>
    </row>
    <row r="19" spans="1:18" ht="15" customHeight="1" thickBot="1">
      <c r="A19" s="1026">
        <f>margins!CM13</f>
        <v>7.7489999999999997</v>
      </c>
      <c r="B19" s="1026">
        <f>margins!CO13-margins!CP13</f>
        <v>100.825</v>
      </c>
      <c r="C19" s="1026">
        <f>margins!CO13-margins!CP13</f>
        <v>100.825</v>
      </c>
      <c r="D19" s="1027"/>
      <c r="E19" s="1023"/>
      <c r="F19" s="784"/>
      <c r="G19" s="1024" t="s">
        <v>15</v>
      </c>
      <c r="H19" s="1024" t="s">
        <v>16</v>
      </c>
      <c r="I19" s="1024" t="s">
        <v>17</v>
      </c>
      <c r="J19" s="1024" t="s">
        <v>18</v>
      </c>
      <c r="K19" s="1024" t="s">
        <v>19</v>
      </c>
      <c r="L19" s="1025" t="s">
        <v>20</v>
      </c>
      <c r="M19" s="1011"/>
      <c r="N19" s="1011"/>
      <c r="P19" s="481" t="s">
        <v>675</v>
      </c>
      <c r="Q19" s="661" t="s">
        <v>203</v>
      </c>
      <c r="R19" s="489">
        <f t="shared" si="0"/>
        <v>0</v>
      </c>
    </row>
    <row r="20" spans="1:18" ht="15" customHeight="1">
      <c r="A20" s="1026">
        <f>margins!CM14</f>
        <v>7.8739999999999997</v>
      </c>
      <c r="B20" s="1026">
        <f>margins!CO14-margins!CP14</f>
        <v>101.2625</v>
      </c>
      <c r="C20" s="1026">
        <f>margins!CO14-margins!CP14</f>
        <v>101.2625</v>
      </c>
      <c r="D20" s="1027"/>
      <c r="E20" s="2037" t="s">
        <v>670</v>
      </c>
      <c r="F20" s="1028" t="s">
        <v>116</v>
      </c>
      <c r="G20" s="1029">
        <v>0.875</v>
      </c>
      <c r="H20" s="1030">
        <v>0.875</v>
      </c>
      <c r="I20" s="1030">
        <v>0.875</v>
      </c>
      <c r="J20" s="1030">
        <v>0.875</v>
      </c>
      <c r="K20" s="1030">
        <v>0.625</v>
      </c>
      <c r="L20" s="1031">
        <v>0</v>
      </c>
      <c r="M20" s="994"/>
      <c r="N20" s="994"/>
      <c r="P20" s="481" t="s">
        <v>676</v>
      </c>
      <c r="Q20" s="661" t="s">
        <v>203</v>
      </c>
      <c r="R20" s="489">
        <f t="shared" si="0"/>
        <v>0</v>
      </c>
    </row>
    <row r="21" spans="1:18" ht="15" customHeight="1">
      <c r="A21" s="1026">
        <f>margins!CM15</f>
        <v>7.9979999999999993</v>
      </c>
      <c r="B21" s="1026">
        <f>margins!CO15-margins!CP15</f>
        <v>101.575</v>
      </c>
      <c r="C21" s="1026">
        <f>margins!CO15-margins!CP15</f>
        <v>101.575</v>
      </c>
      <c r="D21" s="1027"/>
      <c r="E21" s="2038"/>
      <c r="F21" s="1032" t="s">
        <v>323</v>
      </c>
      <c r="G21" s="1033">
        <v>0.875</v>
      </c>
      <c r="H21" s="1034">
        <v>0.875</v>
      </c>
      <c r="I21" s="1034">
        <v>0.75</v>
      </c>
      <c r="J21" s="1034">
        <v>0.75</v>
      </c>
      <c r="K21" s="1034">
        <v>0.25</v>
      </c>
      <c r="L21" s="1035">
        <v>-0.25</v>
      </c>
      <c r="P21" s="481" t="s">
        <v>600</v>
      </c>
      <c r="Q21" s="661" t="s">
        <v>203</v>
      </c>
      <c r="R21" s="489">
        <f>IFERROR(INDEX($G$31:$L$50,MATCH(Q21,$F$31:$F$50,0),MATCH($Q$11,$G$30:$L$30,0),1),0)</f>
        <v>0</v>
      </c>
    </row>
    <row r="22" spans="1:18" ht="15" customHeight="1">
      <c r="A22" s="1026">
        <f>margins!CM16</f>
        <v>8.1240000000000006</v>
      </c>
      <c r="B22" s="1026">
        <f>margins!CO16-margins!CP16</f>
        <v>101.825</v>
      </c>
      <c r="C22" s="1026">
        <f>margins!CO16-margins!CP16</f>
        <v>101.825</v>
      </c>
      <c r="D22" s="1027"/>
      <c r="E22" s="2038"/>
      <c r="F22" s="1032" t="s">
        <v>322</v>
      </c>
      <c r="G22" s="1036">
        <v>0.75</v>
      </c>
      <c r="H22" s="1037">
        <v>0.75</v>
      </c>
      <c r="I22" s="1037">
        <v>0.625</v>
      </c>
      <c r="J22" s="1037">
        <v>0.5</v>
      </c>
      <c r="K22" s="1037">
        <v>0</v>
      </c>
      <c r="L22" s="1038">
        <v>-0.75</v>
      </c>
      <c r="P22" s="481" t="s">
        <v>216</v>
      </c>
      <c r="Q22" s="661" t="s">
        <v>203</v>
      </c>
      <c r="R22" s="489">
        <f>IFERROR(INDEX($G$51:$L$53,MATCH(Q22,$F$51:$F$53,0),MATCH($Q$11,$G$30:$L$30,0),1),0)</f>
        <v>0</v>
      </c>
    </row>
    <row r="23" spans="1:18" ht="15" customHeight="1" thickBot="1">
      <c r="A23" s="1026">
        <f>margins!CM17</f>
        <v>8.2490000000000006</v>
      </c>
      <c r="B23" s="1026">
        <f>margins!CO17-margins!CP17</f>
        <v>102.075</v>
      </c>
      <c r="C23" s="1026">
        <f>margins!CO17-margins!CP17</f>
        <v>102.075</v>
      </c>
      <c r="D23" s="1027"/>
      <c r="E23" s="2039"/>
      <c r="F23" s="1039" t="s">
        <v>144</v>
      </c>
      <c r="G23" s="1040">
        <v>0</v>
      </c>
      <c r="H23" s="1041">
        <v>-0.125</v>
      </c>
      <c r="I23" s="1041">
        <v>-0.5</v>
      </c>
      <c r="J23" s="1041">
        <v>-0.625</v>
      </c>
      <c r="K23" s="1041">
        <v>-1</v>
      </c>
      <c r="L23" s="1042" t="s">
        <v>514</v>
      </c>
      <c r="P23" s="481" t="s">
        <v>217</v>
      </c>
      <c r="Q23" s="661" t="s">
        <v>203</v>
      </c>
      <c r="R23" s="489">
        <f>IF(OR(Q23=15, Q23="Choose a Selection"),0,IF(Q23=30,G8, 0))</f>
        <v>0</v>
      </c>
    </row>
    <row r="24" spans="1:18" ht="15" customHeight="1" thickBot="1">
      <c r="A24" s="1026">
        <f>margins!CM18</f>
        <v>8.3740000000000006</v>
      </c>
      <c r="B24" s="1026">
        <f>margins!CO18-margins!CP18</f>
        <v>102.325</v>
      </c>
      <c r="C24" s="1026">
        <f>margins!CO18-margins!CP18</f>
        <v>102.325</v>
      </c>
      <c r="D24" s="1027"/>
      <c r="E24" s="1043"/>
      <c r="F24" s="1044"/>
      <c r="G24" s="1044"/>
      <c r="H24" s="1044"/>
      <c r="I24" s="1044"/>
      <c r="J24" s="1044"/>
      <c r="K24" s="1044"/>
      <c r="L24" s="1044"/>
      <c r="M24" s="753"/>
      <c r="N24" s="753"/>
      <c r="P24" s="482" t="s">
        <v>218</v>
      </c>
      <c r="Q24" s="1017"/>
      <c r="R24" s="490">
        <f>SUM(R12:R23)</f>
        <v>0.375</v>
      </c>
    </row>
    <row r="25" spans="1:18" ht="15.75" customHeight="1" thickBot="1">
      <c r="A25" s="1026">
        <f>margins!CM19</f>
        <v>8.4990000000000006</v>
      </c>
      <c r="B25" s="1026">
        <f>margins!CO19-margins!CP19</f>
        <v>102.575</v>
      </c>
      <c r="C25" s="1026">
        <f>margins!CO19-margins!CP19</f>
        <v>102.575</v>
      </c>
      <c r="D25" s="1027"/>
      <c r="E25" s="1023"/>
      <c r="F25" s="1343"/>
      <c r="G25" s="1024" t="s">
        <v>15</v>
      </c>
      <c r="H25" s="1024" t="s">
        <v>16</v>
      </c>
      <c r="I25" s="1024" t="s">
        <v>17</v>
      </c>
      <c r="J25" s="1024" t="s">
        <v>18</v>
      </c>
      <c r="K25" s="1024" t="s">
        <v>19</v>
      </c>
      <c r="L25" s="1025" t="s">
        <v>20</v>
      </c>
      <c r="M25" s="753"/>
      <c r="N25" s="753"/>
      <c r="P25" s="473"/>
      <c r="Q25" s="474"/>
      <c r="R25" s="483"/>
    </row>
    <row r="26" spans="1:18" ht="15" customHeight="1" thickBot="1">
      <c r="A26" s="1026">
        <f>margins!CM20</f>
        <v>8.6240000000000006</v>
      </c>
      <c r="B26" s="1026">
        <f>margins!CO20-margins!CP20</f>
        <v>102.825</v>
      </c>
      <c r="C26" s="1026">
        <f>margins!CO20-margins!CP20</f>
        <v>102.825</v>
      </c>
      <c r="D26" s="1027"/>
      <c r="E26" s="2042" t="s">
        <v>114</v>
      </c>
      <c r="F26" s="1347" t="s">
        <v>167</v>
      </c>
      <c r="G26" s="1030">
        <v>-0.5</v>
      </c>
      <c r="H26" s="1030">
        <v>-0.5</v>
      </c>
      <c r="I26" s="1030">
        <v>-0.5</v>
      </c>
      <c r="J26" s="1030">
        <v>-0.5</v>
      </c>
      <c r="K26" s="1030">
        <v>-0.5</v>
      </c>
      <c r="L26" s="1031">
        <v>-0.5</v>
      </c>
      <c r="M26" s="753"/>
      <c r="N26" s="753"/>
      <c r="P26" s="475" t="s">
        <v>219</v>
      </c>
      <c r="Q26" s="476"/>
      <c r="R26" s="1016" t="str">
        <f>IF(ISNUMBER(MATCH("NA", R12:R23, 0)), "NA",IF(Q18=$F$41, IF(Q22="Choose a Selection",MIN(R24+R10,VLOOKUP(Q21,$E$11:$F$16,2,FALSE)),MIN(R24+R10,VLOOKUP(Q22,$E$11:$F$16,2,FALSE))), IF(Q18=$F$40, IF(Q22="Choose a Selection",MIN(R24+R10,VLOOKUP(Q21,$E$11:$G$16,3,FALSE)),MIN(R24+R10,VLOOKUP(Q22,$E$11:$G$16,3,FALSE))), "#N/A")))</f>
        <v>#N/A</v>
      </c>
    </row>
    <row r="27" spans="1:18" ht="15" customHeight="1" thickBot="1">
      <c r="A27" s="1026">
        <f>margins!CM21</f>
        <v>8.7490000000000006</v>
      </c>
      <c r="B27" s="1026">
        <f>margins!CO21-margins!CP21</f>
        <v>103.075</v>
      </c>
      <c r="C27" s="1026">
        <f>margins!CO21-margins!CP21</f>
        <v>103.075</v>
      </c>
      <c r="D27" s="1027"/>
      <c r="E27" s="2043"/>
      <c r="F27" s="1348" t="s">
        <v>671</v>
      </c>
      <c r="G27" s="1041">
        <v>0.25</v>
      </c>
      <c r="H27" s="1041">
        <v>0.25</v>
      </c>
      <c r="I27" s="1041">
        <v>0.25</v>
      </c>
      <c r="J27" s="1041">
        <v>0.25</v>
      </c>
      <c r="K27" s="1041">
        <v>0.25</v>
      </c>
      <c r="L27" s="1042">
        <v>0.375</v>
      </c>
      <c r="M27" s="753"/>
      <c r="N27" s="753"/>
      <c r="P27" s="470"/>
      <c r="Q27" s="470"/>
      <c r="R27" s="470"/>
    </row>
    <row r="28" spans="1:18" ht="15" customHeight="1" thickBot="1">
      <c r="A28" s="1026">
        <f>margins!CM22</f>
        <v>8.8740000000000006</v>
      </c>
      <c r="B28" s="1026">
        <f>margins!CO22-margins!CP22</f>
        <v>103.325</v>
      </c>
      <c r="C28" s="1026">
        <f>margins!CO22-margins!CP22</f>
        <v>103.325</v>
      </c>
      <c r="D28" s="1027"/>
      <c r="E28" s="1046"/>
      <c r="F28" s="1046"/>
      <c r="G28" s="1046"/>
      <c r="H28" s="1046"/>
      <c r="I28" s="1046"/>
      <c r="J28" s="1046"/>
      <c r="K28" s="1046"/>
      <c r="L28" s="1046"/>
      <c r="M28" s="753"/>
      <c r="N28" s="753"/>
      <c r="P28" s="846" t="s">
        <v>519</v>
      </c>
      <c r="Q28" s="847"/>
      <c r="R28" s="848"/>
    </row>
    <row r="29" spans="1:18" ht="15" customHeight="1" thickBot="1">
      <c r="A29" s="1026">
        <f>margins!CM23</f>
        <v>8.9980000000000011</v>
      </c>
      <c r="B29" s="1026">
        <f>margins!CO23-margins!CP23</f>
        <v>103.575</v>
      </c>
      <c r="C29" s="1026">
        <f>margins!CO23-margins!CP23</f>
        <v>103.575</v>
      </c>
      <c r="D29" s="1047"/>
      <c r="E29" s="2052" t="s">
        <v>431</v>
      </c>
      <c r="F29" s="2053"/>
      <c r="G29" s="2053"/>
      <c r="H29" s="2053"/>
      <c r="I29" s="2053"/>
      <c r="J29" s="2053"/>
      <c r="K29" s="2053"/>
      <c r="L29" s="2054"/>
      <c r="M29" s="753"/>
      <c r="N29" s="753"/>
    </row>
    <row r="30" spans="1:18" ht="15" customHeight="1" thickBot="1">
      <c r="A30" s="1026">
        <f>margins!CM24</f>
        <v>9.1240000000000006</v>
      </c>
      <c r="B30" s="1026">
        <f>margins!CO24-margins!CP24</f>
        <v>103.825</v>
      </c>
      <c r="C30" s="1026">
        <f>margins!CO24-margins!CP24</f>
        <v>103.825</v>
      </c>
      <c r="D30" s="1048"/>
      <c r="E30" s="1416"/>
      <c r="F30" s="1002"/>
      <c r="G30" s="1024" t="s">
        <v>15</v>
      </c>
      <c r="H30" s="1024" t="s">
        <v>16</v>
      </c>
      <c r="I30" s="1024" t="s">
        <v>17</v>
      </c>
      <c r="J30" s="1024" t="s">
        <v>18</v>
      </c>
      <c r="K30" s="1024" t="s">
        <v>19</v>
      </c>
      <c r="L30" s="1025" t="s">
        <v>20</v>
      </c>
      <c r="M30" s="753"/>
      <c r="N30" s="753"/>
    </row>
    <row r="31" spans="1:18" ht="15" customHeight="1">
      <c r="A31" s="1026">
        <f>margins!CM25</f>
        <v>9.2490000000000006</v>
      </c>
      <c r="B31" s="1026">
        <f>margins!CO25-margins!CP25</f>
        <v>104.075</v>
      </c>
      <c r="C31" s="1026">
        <f>margins!CO25-margins!CP25</f>
        <v>104.075</v>
      </c>
      <c r="D31" s="1048"/>
      <c r="E31" s="2042" t="s">
        <v>210</v>
      </c>
      <c r="F31" s="1030" t="s">
        <v>672</v>
      </c>
      <c r="G31" s="1030">
        <v>-0.25</v>
      </c>
      <c r="H31" s="1030">
        <v>-0.25</v>
      </c>
      <c r="I31" s="1030">
        <v>-0.25</v>
      </c>
      <c r="J31" s="1030">
        <v>-0.25</v>
      </c>
      <c r="K31" s="1030">
        <v>-0.25</v>
      </c>
      <c r="L31" s="1031">
        <v>-0.5</v>
      </c>
      <c r="M31" s="753"/>
      <c r="N31" s="753"/>
    </row>
    <row r="32" spans="1:18" ht="15" customHeight="1" thickBot="1">
      <c r="A32" s="1026">
        <f>margins!CM26</f>
        <v>9.3740000000000006</v>
      </c>
      <c r="B32" s="1026">
        <f>margins!CO26-margins!CP26</f>
        <v>104.325</v>
      </c>
      <c r="C32" s="1026">
        <f>margins!CO26-margins!CP26</f>
        <v>104.325</v>
      </c>
      <c r="D32" s="1046"/>
      <c r="E32" s="2043"/>
      <c r="F32" s="1041" t="s">
        <v>673</v>
      </c>
      <c r="G32" s="1041">
        <v>-0.25</v>
      </c>
      <c r="H32" s="1041">
        <v>-0.25</v>
      </c>
      <c r="I32" s="1041">
        <v>-0.25</v>
      </c>
      <c r="J32" s="1041">
        <v>-0.25</v>
      </c>
      <c r="K32" s="1041">
        <v>-0.25</v>
      </c>
      <c r="L32" s="1042">
        <v>-0.5</v>
      </c>
      <c r="M32" s="753"/>
      <c r="N32" s="753"/>
      <c r="P32"/>
      <c r="Q32"/>
      <c r="R32"/>
    </row>
    <row r="33" spans="1:18" ht="15" customHeight="1">
      <c r="A33" s="1026">
        <f>margins!CM27</f>
        <v>9.4990000000000006</v>
      </c>
      <c r="B33" s="1026">
        <f>margins!CO27-margins!CP27</f>
        <v>104.575</v>
      </c>
      <c r="C33" s="1026">
        <f>margins!CO27-margins!CP27</f>
        <v>104.575</v>
      </c>
      <c r="D33" s="1046"/>
      <c r="E33" s="2049" t="s">
        <v>310</v>
      </c>
      <c r="F33" s="1349" t="s">
        <v>585</v>
      </c>
      <c r="G33" s="1034">
        <v>0</v>
      </c>
      <c r="H33" s="1034">
        <v>0</v>
      </c>
      <c r="I33" s="1034">
        <v>0</v>
      </c>
      <c r="J33" s="1034">
        <v>0</v>
      </c>
      <c r="K33" s="1034">
        <v>0</v>
      </c>
      <c r="L33" s="1035">
        <v>0</v>
      </c>
      <c r="M33" s="753"/>
      <c r="N33" s="753"/>
      <c r="P33"/>
      <c r="Q33"/>
      <c r="R33"/>
    </row>
    <row r="34" spans="1:18" ht="15.75" customHeight="1">
      <c r="A34" s="1026">
        <f>margins!CM28</f>
        <v>9.6240000000000006</v>
      </c>
      <c r="B34" s="1026">
        <f>margins!CO28-margins!CP28</f>
        <v>104.825</v>
      </c>
      <c r="C34" s="1026">
        <f>margins!CO28-margins!CP28</f>
        <v>104.825</v>
      </c>
      <c r="D34" s="1046"/>
      <c r="E34" s="2050"/>
      <c r="F34" s="1350" t="s">
        <v>586</v>
      </c>
      <c r="G34" s="1037">
        <v>-0.125</v>
      </c>
      <c r="H34" s="1037">
        <v>-0.125</v>
      </c>
      <c r="I34" s="1037">
        <v>-0.25</v>
      </c>
      <c r="J34" s="1037">
        <v>-0.25</v>
      </c>
      <c r="K34" s="1037">
        <v>-0.375</v>
      </c>
      <c r="L34" s="1038">
        <v>-0.5</v>
      </c>
      <c r="M34" s="753"/>
      <c r="N34" s="753"/>
      <c r="P34"/>
      <c r="Q34"/>
      <c r="R34"/>
    </row>
    <row r="35" spans="1:18" ht="15.75" customHeight="1">
      <c r="A35" s="1026">
        <f>margins!CM29</f>
        <v>9.7490000000000006</v>
      </c>
      <c r="B35" s="1026">
        <f>margins!CO29-margins!CP29</f>
        <v>105.075</v>
      </c>
      <c r="C35" s="1026">
        <f>margins!CO29-margins!CP29</f>
        <v>105.075</v>
      </c>
      <c r="D35" s="1046"/>
      <c r="E35" s="2050"/>
      <c r="F35" s="1350" t="s">
        <v>587</v>
      </c>
      <c r="G35" s="1037">
        <v>-0.125</v>
      </c>
      <c r="H35" s="1037">
        <v>-0.125</v>
      </c>
      <c r="I35" s="1037">
        <v>-0.25</v>
      </c>
      <c r="J35" s="1037">
        <v>-0.375</v>
      </c>
      <c r="K35" s="1037">
        <v>-0.5</v>
      </c>
      <c r="L35" s="1038">
        <v>-1.5</v>
      </c>
      <c r="M35" s="753"/>
      <c r="N35" s="753"/>
      <c r="P35"/>
    </row>
    <row r="36" spans="1:18" ht="15.75" customHeight="1" thickBot="1">
      <c r="A36" s="1026">
        <f>margins!CM30</f>
        <v>9.8740000000000006</v>
      </c>
      <c r="B36" s="1026">
        <f>margins!CO30-margins!CP30</f>
        <v>105.325</v>
      </c>
      <c r="C36" s="1026">
        <f>margins!CO30-margins!CP30</f>
        <v>105.325</v>
      </c>
      <c r="D36" s="1046"/>
      <c r="E36" s="2051"/>
      <c r="F36" s="1348" t="s">
        <v>588</v>
      </c>
      <c r="G36" s="1041">
        <v>-0.375</v>
      </c>
      <c r="H36" s="1041">
        <v>-0.375</v>
      </c>
      <c r="I36" s="1041">
        <v>-0.375</v>
      </c>
      <c r="J36" s="1041">
        <v>-0.5</v>
      </c>
      <c r="K36" s="1041">
        <v>-0.75</v>
      </c>
      <c r="L36" s="1042">
        <v>-1.625</v>
      </c>
      <c r="M36" s="753"/>
      <c r="N36" s="753"/>
      <c r="P36"/>
    </row>
    <row r="37" spans="1:18" ht="15.75" customHeight="1">
      <c r="A37" s="1026">
        <f>margins!CM31</f>
        <v>9.9980000000000011</v>
      </c>
      <c r="B37" s="1026">
        <f>margins!CO31-margins!CP31</f>
        <v>105.575</v>
      </c>
      <c r="C37" s="1026">
        <f>margins!CO31-margins!CP31</f>
        <v>105.575</v>
      </c>
      <c r="D37" s="1046"/>
      <c r="E37" s="2040" t="s">
        <v>56</v>
      </c>
      <c r="F37" s="1037" t="s">
        <v>592</v>
      </c>
      <c r="G37" s="1037">
        <v>0</v>
      </c>
      <c r="H37" s="1037">
        <v>0</v>
      </c>
      <c r="I37" s="1037">
        <v>0</v>
      </c>
      <c r="J37" s="1037">
        <v>0</v>
      </c>
      <c r="K37" s="1037">
        <v>0</v>
      </c>
      <c r="L37" s="1038">
        <v>0</v>
      </c>
      <c r="M37" s="753"/>
      <c r="N37" s="753"/>
      <c r="P37"/>
    </row>
    <row r="38" spans="1:18" ht="15.75" customHeight="1" thickBot="1">
      <c r="A38" s="1026">
        <f>margins!CM32</f>
        <v>10.124000000000001</v>
      </c>
      <c r="B38" s="1026">
        <f>margins!CO32-margins!CP32</f>
        <v>105.825</v>
      </c>
      <c r="C38" s="1026">
        <f>margins!CO32-margins!CP32</f>
        <v>105.825</v>
      </c>
      <c r="D38" s="1046"/>
      <c r="E38" s="2041"/>
      <c r="F38" s="1037" t="s">
        <v>300</v>
      </c>
      <c r="G38" s="1037">
        <v>0</v>
      </c>
      <c r="H38" s="1037">
        <v>0</v>
      </c>
      <c r="I38" s="1037">
        <v>-0.25</v>
      </c>
      <c r="J38" s="1037">
        <v>-0.5</v>
      </c>
      <c r="K38" s="1037">
        <v>-0.75</v>
      </c>
      <c r="L38" s="1038" t="s">
        <v>514</v>
      </c>
      <c r="M38" s="753"/>
      <c r="N38" s="753"/>
      <c r="P38"/>
    </row>
    <row r="39" spans="1:18" ht="15.75" customHeight="1" thickBot="1">
      <c r="A39" s="1026">
        <f>margins!CM33</f>
        <v>10.249000000000001</v>
      </c>
      <c r="B39" s="1026">
        <f>margins!CO33-margins!CP33</f>
        <v>106.075</v>
      </c>
      <c r="C39" s="1026">
        <f>margins!CO33-margins!CP33</f>
        <v>106.075</v>
      </c>
      <c r="D39" s="1046"/>
      <c r="E39" s="1346" t="s">
        <v>339</v>
      </c>
      <c r="F39" s="1351" t="s">
        <v>674</v>
      </c>
      <c r="G39" s="1344">
        <v>-1.25</v>
      </c>
      <c r="H39" s="1344">
        <v>-1.25</v>
      </c>
      <c r="I39" s="1344">
        <v>-1.25</v>
      </c>
      <c r="J39" s="1344">
        <v>-1.25</v>
      </c>
      <c r="K39" s="1344">
        <v>-1.75</v>
      </c>
      <c r="L39" s="1345" t="s">
        <v>514</v>
      </c>
      <c r="M39" s="753"/>
      <c r="N39" s="753"/>
      <c r="P39"/>
    </row>
    <row r="40" spans="1:18" ht="15">
      <c r="A40" s="1026">
        <f>margins!CM34</f>
        <v>10.374000000000001</v>
      </c>
      <c r="B40" s="1026">
        <f>margins!CO34-margins!CP34</f>
        <v>106.325</v>
      </c>
      <c r="C40" s="1026">
        <f>margins!CO34-margins!CP34</f>
        <v>106.325</v>
      </c>
      <c r="D40" s="1046"/>
      <c r="E40" s="2040" t="s">
        <v>62</v>
      </c>
      <c r="F40" s="1030" t="s">
        <v>711</v>
      </c>
      <c r="G40" s="1030">
        <v>-3.75</v>
      </c>
      <c r="H40" s="1030">
        <v>-3.75</v>
      </c>
      <c r="I40" s="1030">
        <v>-5</v>
      </c>
      <c r="J40" s="1030">
        <v>-5.25</v>
      </c>
      <c r="K40" s="1030">
        <v>-7</v>
      </c>
      <c r="L40" s="1031">
        <v>-7.25</v>
      </c>
      <c r="M40" s="753"/>
      <c r="N40" s="753"/>
      <c r="P40"/>
      <c r="Q40"/>
      <c r="R40"/>
    </row>
    <row r="41" spans="1:18" ht="15" customHeight="1" thickBot="1">
      <c r="A41" s="1026">
        <f>margins!CM35</f>
        <v>10.499000000000001</v>
      </c>
      <c r="B41" s="1026">
        <f>margins!CO35-margins!CP35</f>
        <v>106.575</v>
      </c>
      <c r="C41" s="1026">
        <f>margins!CO35-margins!CP35</f>
        <v>106.575</v>
      </c>
      <c r="D41" s="1046"/>
      <c r="E41" s="2041"/>
      <c r="F41" s="1041" t="s">
        <v>712</v>
      </c>
      <c r="G41" s="1041">
        <v>-2.5</v>
      </c>
      <c r="H41" s="1041">
        <v>-2.5</v>
      </c>
      <c r="I41" s="1041">
        <v>-3.75</v>
      </c>
      <c r="J41" s="1041">
        <v>-4</v>
      </c>
      <c r="K41" s="1041">
        <v>-5.75</v>
      </c>
      <c r="L41" s="1042">
        <v>-6</v>
      </c>
      <c r="M41" s="753"/>
      <c r="N41" s="753"/>
      <c r="P41"/>
      <c r="Q41"/>
      <c r="R41"/>
    </row>
    <row r="42" spans="1:18" ht="15" customHeight="1" thickBot="1">
      <c r="A42" s="1026">
        <f>margins!CM36</f>
        <v>10.624000000000001</v>
      </c>
      <c r="B42" s="1026">
        <f>margins!CO36-margins!CP36</f>
        <v>106.825</v>
      </c>
      <c r="C42" s="1026">
        <f>margins!CO36-margins!CP36</f>
        <v>106.825</v>
      </c>
      <c r="D42" s="1046"/>
      <c r="E42" s="1406" t="s">
        <v>675</v>
      </c>
      <c r="F42" s="1407" t="s">
        <v>589</v>
      </c>
      <c r="G42" s="1407">
        <v>-0.25</v>
      </c>
      <c r="H42" s="1407">
        <v>-0.375</v>
      </c>
      <c r="I42" s="1407">
        <v>-0.5</v>
      </c>
      <c r="J42" s="1407">
        <v>-0.625</v>
      </c>
      <c r="K42" s="1407">
        <v>-1</v>
      </c>
      <c r="L42" s="1408" t="s">
        <v>514</v>
      </c>
      <c r="M42" s="753"/>
      <c r="N42" s="753"/>
      <c r="P42"/>
      <c r="Q42"/>
      <c r="R42"/>
    </row>
    <row r="43" spans="1:18" ht="15" customHeight="1" thickBot="1">
      <c r="A43" s="1342">
        <f>margins!CM37</f>
        <v>10.749000000000001</v>
      </c>
      <c r="B43" s="1342">
        <f>margins!CO37-margins!CP37</f>
        <v>107.075</v>
      </c>
      <c r="C43" s="1342">
        <f>margins!CO37-margins!CP37</f>
        <v>107.075</v>
      </c>
      <c r="D43" s="1046"/>
      <c r="E43" s="2040" t="s">
        <v>676</v>
      </c>
      <c r="F43" s="1030" t="s">
        <v>717</v>
      </c>
      <c r="G43" s="1030">
        <v>-0.25</v>
      </c>
      <c r="H43" s="1030">
        <v>-0.25</v>
      </c>
      <c r="I43" s="1030">
        <v>-0.25</v>
      </c>
      <c r="J43" s="1030">
        <v>-0.25</v>
      </c>
      <c r="K43" s="1030">
        <v>-0.25</v>
      </c>
      <c r="L43" s="1031">
        <v>-0.25</v>
      </c>
      <c r="M43" s="753"/>
      <c r="N43" s="753"/>
      <c r="P43"/>
      <c r="Q43"/>
      <c r="R43"/>
    </row>
    <row r="44" spans="1:18" ht="15" customHeight="1" thickBot="1">
      <c r="D44" s="1046"/>
      <c r="E44" s="2041"/>
      <c r="F44" s="1041" t="s">
        <v>718</v>
      </c>
      <c r="G44" s="1041">
        <v>0</v>
      </c>
      <c r="H44" s="1041">
        <v>-0.125</v>
      </c>
      <c r="I44" s="1041">
        <v>-0.125</v>
      </c>
      <c r="J44" s="1041">
        <v>-0.25</v>
      </c>
      <c r="K44" s="1041">
        <v>-0.25</v>
      </c>
      <c r="L44" s="1042">
        <v>-0.375</v>
      </c>
      <c r="M44" s="753"/>
      <c r="N44" s="753"/>
      <c r="P44"/>
      <c r="Q44"/>
      <c r="R44"/>
    </row>
    <row r="45" spans="1:18" ht="15" customHeight="1">
      <c r="D45" s="1046"/>
      <c r="E45" s="1409"/>
      <c r="F45" s="1410" t="s">
        <v>99</v>
      </c>
      <c r="G45" s="1034">
        <v>0.5</v>
      </c>
      <c r="H45" s="1034">
        <v>0.5</v>
      </c>
      <c r="I45" s="1034">
        <v>0.5</v>
      </c>
      <c r="J45" s="1034">
        <v>0.5</v>
      </c>
      <c r="K45" s="1034">
        <v>0.5</v>
      </c>
      <c r="L45" s="1035">
        <v>0.5</v>
      </c>
      <c r="M45" s="753"/>
      <c r="N45" s="753"/>
      <c r="P45"/>
      <c r="Q45"/>
      <c r="R45"/>
    </row>
    <row r="46" spans="1:18" ht="15" customHeight="1">
      <c r="E46" s="1049"/>
      <c r="F46" s="1350" t="s">
        <v>100</v>
      </c>
      <c r="G46" s="1037">
        <v>0.25</v>
      </c>
      <c r="H46" s="1037">
        <v>0.25</v>
      </c>
      <c r="I46" s="1037">
        <v>0.25</v>
      </c>
      <c r="J46" s="1037">
        <v>0.25</v>
      </c>
      <c r="K46" s="1037">
        <v>0.25</v>
      </c>
      <c r="L46" s="1038">
        <v>0.25</v>
      </c>
      <c r="M46" s="753"/>
      <c r="N46" s="753"/>
      <c r="P46"/>
      <c r="Q46"/>
      <c r="R46"/>
    </row>
    <row r="47" spans="1:18" ht="15" customHeight="1">
      <c r="E47" s="1012" t="s">
        <v>142</v>
      </c>
      <c r="F47" s="1350" t="s">
        <v>7</v>
      </c>
      <c r="G47" s="1037">
        <v>0</v>
      </c>
      <c r="H47" s="1037">
        <v>0</v>
      </c>
      <c r="I47" s="1037">
        <v>0</v>
      </c>
      <c r="J47" s="1037">
        <v>0</v>
      </c>
      <c r="K47" s="1037">
        <v>0</v>
      </c>
      <c r="L47" s="1038">
        <v>0</v>
      </c>
      <c r="M47" s="753"/>
      <c r="N47" s="753"/>
      <c r="P47"/>
      <c r="Q47"/>
      <c r="R47"/>
    </row>
    <row r="48" spans="1:18">
      <c r="E48" s="1012" t="s">
        <v>593</v>
      </c>
      <c r="F48" s="1350" t="s">
        <v>9</v>
      </c>
      <c r="G48" s="1037" t="s">
        <v>514</v>
      </c>
      <c r="H48" s="1037" t="s">
        <v>514</v>
      </c>
      <c r="I48" s="1037" t="s">
        <v>514</v>
      </c>
      <c r="J48" s="1037" t="s">
        <v>514</v>
      </c>
      <c r="K48" s="1037" t="s">
        <v>514</v>
      </c>
      <c r="L48" s="1038" t="s">
        <v>514</v>
      </c>
      <c r="M48" s="753"/>
      <c r="N48" s="753"/>
    </row>
    <row r="49" spans="5:14">
      <c r="E49" s="1012"/>
      <c r="F49" s="1350" t="s">
        <v>11</v>
      </c>
      <c r="G49" s="1037">
        <v>-1</v>
      </c>
      <c r="H49" s="1037">
        <v>-1</v>
      </c>
      <c r="I49" s="1037">
        <v>-1</v>
      </c>
      <c r="J49" s="1037">
        <v>-1</v>
      </c>
      <c r="K49" s="1037">
        <v>-1</v>
      </c>
      <c r="L49" s="1038">
        <v>-1</v>
      </c>
      <c r="M49" s="753"/>
      <c r="N49" s="753"/>
    </row>
    <row r="50" spans="5:14" ht="13.5" thickBot="1">
      <c r="E50" s="1013"/>
      <c r="F50" s="1348" t="s">
        <v>101</v>
      </c>
      <c r="G50" s="1041">
        <v>-2</v>
      </c>
      <c r="H50" s="1041">
        <v>-2</v>
      </c>
      <c r="I50" s="1041">
        <v>-2</v>
      </c>
      <c r="J50" s="1041">
        <v>-2</v>
      </c>
      <c r="K50" s="1041">
        <v>-2</v>
      </c>
      <c r="L50" s="1042">
        <v>-2</v>
      </c>
      <c r="M50" s="753"/>
      <c r="N50" s="753"/>
    </row>
    <row r="51" spans="5:14">
      <c r="E51" s="1014" t="s">
        <v>479</v>
      </c>
      <c r="F51" s="1347" t="s">
        <v>7</v>
      </c>
      <c r="G51" s="1030">
        <v>-0.5</v>
      </c>
      <c r="H51" s="1030">
        <v>-0.5</v>
      </c>
      <c r="I51" s="1030">
        <v>-0.5</v>
      </c>
      <c r="J51" s="1030">
        <v>-0.5</v>
      </c>
      <c r="K51" s="1030">
        <v>-0.5</v>
      </c>
      <c r="L51" s="1031">
        <v>-0.5</v>
      </c>
      <c r="M51" s="753"/>
      <c r="N51" s="753"/>
    </row>
    <row r="52" spans="5:14">
      <c r="E52" s="1050" t="s">
        <v>677</v>
      </c>
      <c r="F52" s="1350" t="s">
        <v>100</v>
      </c>
      <c r="G52" s="1037">
        <v>-0.375</v>
      </c>
      <c r="H52" s="1037">
        <v>-0.375</v>
      </c>
      <c r="I52" s="1037">
        <v>-0.375</v>
      </c>
      <c r="J52" s="1037">
        <v>-0.375</v>
      </c>
      <c r="K52" s="1037">
        <v>-0.375</v>
      </c>
      <c r="L52" s="1038">
        <v>-0.375</v>
      </c>
      <c r="M52" s="753"/>
      <c r="N52" s="753"/>
    </row>
    <row r="53" spans="5:14" ht="13.5" thickBot="1">
      <c r="E53" s="1051"/>
      <c r="F53" s="1352" t="s">
        <v>99</v>
      </c>
      <c r="G53" s="1041">
        <v>-0.25</v>
      </c>
      <c r="H53" s="1041">
        <v>-0.25</v>
      </c>
      <c r="I53" s="1041">
        <v>-0.25</v>
      </c>
      <c r="J53" s="1041">
        <v>-0.25</v>
      </c>
      <c r="K53" s="1041">
        <v>-0.25</v>
      </c>
      <c r="L53" s="1042">
        <v>-0.25</v>
      </c>
      <c r="M53" s="753"/>
      <c r="N53" s="753"/>
    </row>
    <row r="54" spans="5:14">
      <c r="M54" s="753"/>
      <c r="N54" s="753"/>
    </row>
    <row r="55" spans="5:14">
      <c r="E55" s="1046"/>
      <c r="F55" s="1046"/>
      <c r="G55" s="1046"/>
      <c r="H55" s="1046"/>
      <c r="I55" s="1046"/>
      <c r="J55" s="1046"/>
      <c r="K55" s="1046"/>
      <c r="L55" s="1046"/>
      <c r="M55" s="753"/>
      <c r="N55" s="753"/>
    </row>
    <row r="56" spans="5:14">
      <c r="M56" s="753"/>
      <c r="N56" s="753"/>
    </row>
    <row r="58" spans="5:14">
      <c r="F58" s="992"/>
      <c r="G58" s="753"/>
      <c r="H58" s="753"/>
      <c r="I58" s="753"/>
      <c r="J58" s="753"/>
      <c r="K58" s="753"/>
      <c r="L58" s="753"/>
    </row>
    <row r="59" spans="5:14">
      <c r="F59" s="992"/>
      <c r="G59" s="753"/>
      <c r="H59" s="753"/>
      <c r="I59" s="753"/>
      <c r="J59" s="753"/>
      <c r="K59" s="753"/>
      <c r="L59" s="753"/>
    </row>
    <row r="60" spans="5:14">
      <c r="F60" s="992"/>
      <c r="G60" s="753"/>
      <c r="H60" s="753"/>
      <c r="I60" s="753"/>
      <c r="J60" s="753"/>
      <c r="K60" s="753"/>
      <c r="L60" s="753"/>
    </row>
    <row r="61" spans="5:14">
      <c r="F61" s="992"/>
      <c r="G61" s="753"/>
      <c r="H61" s="753"/>
      <c r="I61" s="753"/>
      <c r="J61" s="753"/>
      <c r="K61" s="753"/>
      <c r="L61" s="753"/>
    </row>
    <row r="62" spans="5:14" ht="15.75" customHeight="1">
      <c r="F62" s="992"/>
      <c r="G62" s="753"/>
      <c r="H62" s="753"/>
      <c r="I62" s="753"/>
      <c r="J62" s="753"/>
      <c r="K62" s="753"/>
      <c r="L62" s="753"/>
    </row>
    <row r="63" spans="5:14">
      <c r="F63" s="992"/>
      <c r="G63" s="753"/>
      <c r="H63" s="753"/>
      <c r="I63" s="753"/>
      <c r="J63" s="753"/>
      <c r="K63" s="753"/>
      <c r="L63" s="753"/>
    </row>
    <row r="64" spans="5:14">
      <c r="F64" s="992"/>
      <c r="G64" s="753"/>
      <c r="H64" s="753"/>
      <c r="I64" s="753"/>
      <c r="J64" s="753"/>
      <c r="K64" s="753"/>
      <c r="L64" s="753"/>
    </row>
    <row r="65" spans="6:12">
      <c r="F65" s="992"/>
      <c r="G65" s="753"/>
      <c r="H65" s="753"/>
      <c r="I65" s="753"/>
      <c r="J65" s="753"/>
      <c r="K65" s="753"/>
      <c r="L65" s="753"/>
    </row>
    <row r="66" spans="6:12">
      <c r="F66" s="992"/>
      <c r="G66" s="753"/>
      <c r="H66" s="753"/>
      <c r="I66" s="753"/>
      <c r="J66" s="753"/>
      <c r="K66" s="753"/>
      <c r="L66" s="753"/>
    </row>
  </sheetData>
  <mergeCells count="15">
    <mergeCell ref="E20:E23"/>
    <mergeCell ref="E43:E44"/>
    <mergeCell ref="E26:E27"/>
    <mergeCell ref="C2:L2"/>
    <mergeCell ref="A7:C7"/>
    <mergeCell ref="E18:L18"/>
    <mergeCell ref="I10:L10"/>
    <mergeCell ref="I11:L11"/>
    <mergeCell ref="I12:L12"/>
    <mergeCell ref="I14:L14"/>
    <mergeCell ref="E37:E38"/>
    <mergeCell ref="E40:E41"/>
    <mergeCell ref="E33:E36"/>
    <mergeCell ref="E29:L29"/>
    <mergeCell ref="E31:E32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0" xr:uid="{FF075EC1-4BA8-4297-BF00-489D5C193509}">
      <formula1>$A$9:$A$45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2980848-AD52-4A31-8FDB-398B7EE3A4E6}">
          <x14:formula1>
            <xm:f>margins!$BB$161:$BB$163</xm:f>
          </x14:formula1>
          <xm:sqref>Q23</xm:sqref>
        </x14:dataValidation>
        <x14:dataValidation type="list" allowBlank="1" showInputMessage="1" showErrorMessage="1" xr:uid="{538A68EB-3D32-48D1-AB0C-46ACC35C35DE}">
          <x14:formula1>
            <xm:f>margins!$BB$110:$BB$112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margins!$BB$115:$BB$119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margins!$BB$121:$BB$123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margins!$BB$125:$BB$126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margins!$BB$128:$BB$130</xm:f>
          </x14:formula1>
          <xm:sqref>Q18</xm:sqref>
        </x14:dataValidation>
        <x14:dataValidation type="list" allowBlank="1" showInputMessage="1" showErrorMessage="1" xr:uid="{72365366-6B7A-4BCD-9EF8-2351F8CE1BD1}">
          <x14:formula1>
            <xm:f>margins!$BB$131:$BB$132</xm:f>
          </x14:formula1>
          <xm:sqref>Q19</xm:sqref>
        </x14:dataValidation>
        <x14:dataValidation type="list" allowBlank="1" showInputMessage="1" showErrorMessage="1" xr:uid="{CB802A75-F652-4DFA-AAC1-A04AC8FE878D}">
          <x14:formula1>
            <xm:f>margins!$BB$134:$BB$135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margins!$BB$146:$BB$149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margins!$BB$138:$BB$144</xm:f>
          </x14:formula1>
          <xm:sqref>Q21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8.28515625" style="1057" customWidth="1"/>
    <col min="3" max="3" width="27.7109375" style="1057" customWidth="1"/>
    <col min="4" max="4" width="13.140625" style="1057" customWidth="1"/>
    <col min="5" max="5" width="13.85546875" style="1057" customWidth="1"/>
    <col min="6" max="6" width="13.7109375" style="1057" customWidth="1"/>
    <col min="7" max="7" width="19.7109375" style="1057" bestFit="1" customWidth="1"/>
    <col min="8" max="8" width="23.5703125" style="1057" customWidth="1"/>
    <col min="9" max="9" width="13.7109375" style="1057" customWidth="1"/>
    <col min="10" max="10" width="16.5703125" style="1057" customWidth="1"/>
    <col min="11" max="11" width="16.140625" style="1057" bestFit="1" customWidth="1"/>
    <col min="12" max="12" width="2" style="1057" customWidth="1"/>
    <col min="13" max="13" width="9.140625" style="1056"/>
    <col min="14" max="16" width="19.7109375" style="1056" customWidth="1"/>
    <col min="17" max="16384" width="9.140625" style="1056"/>
  </cols>
  <sheetData>
    <row r="1" spans="1:16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268"/>
    </row>
    <row r="2" spans="1:16" s="1057" customFormat="1">
      <c r="A2" s="1203"/>
      <c r="B2" s="1062"/>
      <c r="C2" s="1062"/>
      <c r="D2" s="1062"/>
      <c r="E2" s="1062"/>
      <c r="F2" s="1062"/>
      <c r="G2" s="1062"/>
      <c r="H2" s="1062"/>
      <c r="I2" s="1058" t="s">
        <v>361</v>
      </c>
      <c r="J2" s="1756">
        <f ca="1">NOW()</f>
        <v>45978.399704166666</v>
      </c>
      <c r="K2" s="1756"/>
      <c r="L2" s="1200"/>
    </row>
    <row r="3" spans="1:16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755" t="s">
        <v>648</v>
      </c>
      <c r="K3" s="1755"/>
      <c r="L3" s="1200"/>
    </row>
    <row r="4" spans="1:16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462"/>
      <c r="K4" s="1462"/>
      <c r="L4" s="1200"/>
    </row>
    <row r="5" spans="1:16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487"/>
      <c r="K5" s="1462" t="s">
        <v>182</v>
      </c>
      <c r="L5" s="1200"/>
    </row>
    <row r="6" spans="1:16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200"/>
    </row>
    <row r="7" spans="1:16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200"/>
    </row>
    <row r="8" spans="1:16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267"/>
    </row>
    <row r="9" spans="1:16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66"/>
    </row>
    <row r="10" spans="1:16" s="1057" customFormat="1" ht="14.25" customHeight="1">
      <c r="A10" s="1757" t="s">
        <v>667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9"/>
      <c r="N10" s="1717" t="s">
        <v>473</v>
      </c>
      <c r="O10" s="1718"/>
      <c r="P10" s="1718"/>
    </row>
    <row r="11" spans="1:16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2"/>
      <c r="N11" s="471"/>
      <c r="O11" s="471"/>
      <c r="P11" s="471"/>
    </row>
    <row r="12" spans="1:16" s="1057" customFormat="1" ht="15.75" thickBot="1">
      <c r="A12" s="1528"/>
      <c r="B12" s="1249"/>
      <c r="C12" s="2055" t="s">
        <v>476</v>
      </c>
      <c r="D12" s="2056"/>
      <c r="E12" s="1249"/>
      <c r="F12" s="1529"/>
      <c r="G12" s="1249"/>
      <c r="H12" s="1249"/>
      <c r="I12" s="1249"/>
      <c r="J12" s="1249"/>
      <c r="K12" s="1249"/>
      <c r="L12" s="1266"/>
      <c r="N12" s="1233" t="s">
        <v>207</v>
      </c>
      <c r="O12" s="1233" t="s">
        <v>208</v>
      </c>
      <c r="P12" s="1233" t="s">
        <v>209</v>
      </c>
    </row>
    <row r="13" spans="1:16" s="1057" customFormat="1" ht="15.75" thickBot="1">
      <c r="A13" s="1250"/>
      <c r="B13" s="1285" t="s">
        <v>226</v>
      </c>
      <c r="C13" s="1515" t="s">
        <v>579</v>
      </c>
      <c r="D13" s="1516" t="s">
        <v>420</v>
      </c>
      <c r="E13" s="1058"/>
      <c r="F13" s="1202" t="s">
        <v>646</v>
      </c>
      <c r="G13" s="1201"/>
      <c r="H13" s="1201"/>
      <c r="I13" s="1062"/>
      <c r="J13" s="1202" t="s">
        <v>645</v>
      </c>
      <c r="K13" s="1"/>
      <c r="L13" s="1200"/>
      <c r="N13" s="471"/>
      <c r="O13" s="471"/>
      <c r="P13" s="471"/>
    </row>
    <row r="14" spans="1:16" s="1057" customFormat="1" ht="15.75" thickBot="1">
      <c r="A14" s="1250"/>
      <c r="B14" s="1242">
        <f>margins!CM3</f>
        <v>6.4989999999999997</v>
      </c>
      <c r="C14" s="1530">
        <f>margins!CO3-margins!CP3</f>
        <v>95.621875000000003</v>
      </c>
      <c r="D14" s="1531">
        <f>margins!CO3-margins!CP3</f>
        <v>95.621875000000003</v>
      </c>
      <c r="E14" s="1336"/>
      <c r="F14" s="1314" t="s">
        <v>97</v>
      </c>
      <c r="G14" s="1438" t="s">
        <v>723</v>
      </c>
      <c r="H14" s="1543" t="s">
        <v>724</v>
      </c>
      <c r="I14" s="1062"/>
      <c r="J14" s="1448" t="s">
        <v>657</v>
      </c>
      <c r="K14" s="1538">
        <v>0</v>
      </c>
      <c r="L14" s="1200"/>
      <c r="N14" s="480" t="s">
        <v>210</v>
      </c>
      <c r="O14" s="659" t="s">
        <v>420</v>
      </c>
      <c r="P14" s="709"/>
    </row>
    <row r="15" spans="1:16" s="1057" customFormat="1" ht="15.75" thickBot="1">
      <c r="A15" s="1250"/>
      <c r="B15" s="1242">
        <f>margins!CM4</f>
        <v>6.6239999999999997</v>
      </c>
      <c r="C15" s="1484">
        <f>margins!CO4-margins!CP4</f>
        <v>96.153125000000003</v>
      </c>
      <c r="D15" s="1486">
        <f>margins!CO4-margins!CP4</f>
        <v>96.153125000000003</v>
      </c>
      <c r="E15" s="1336"/>
      <c r="F15" s="1540" t="s">
        <v>99</v>
      </c>
      <c r="G15" s="1541">
        <v>99.75</v>
      </c>
      <c r="H15" s="1542">
        <v>98.75</v>
      </c>
      <c r="I15" s="1062"/>
      <c r="J15" s="1539" t="s">
        <v>644</v>
      </c>
      <c r="K15" s="1243">
        <v>-0.375</v>
      </c>
      <c r="L15" s="1200"/>
      <c r="N15" s="481" t="s">
        <v>211</v>
      </c>
      <c r="O15" s="661">
        <v>10.999000000000001</v>
      </c>
      <c r="P15" s="489" t="e">
        <f>IF(O14="30 Yr Fixed",VLOOKUP(O15,$A$8:$C$45,3,FALSE),VLOOKUP(O15,$A$8:$C$45,2,FALSE))</f>
        <v>#N/A</v>
      </c>
    </row>
    <row r="16" spans="1:16" s="1057" customFormat="1">
      <c r="A16" s="1250"/>
      <c r="B16" s="1242">
        <f>margins!CM5</f>
        <v>6.7489999999999997</v>
      </c>
      <c r="C16" s="1484">
        <f>margins!CO5-margins!CP5</f>
        <v>96.684375000000003</v>
      </c>
      <c r="D16" s="1486">
        <f>margins!CO5-margins!CP5</f>
        <v>96.684375000000003</v>
      </c>
      <c r="E16" s="1336"/>
      <c r="F16" s="1536" t="s">
        <v>100</v>
      </c>
      <c r="G16" s="1534">
        <v>99.75</v>
      </c>
      <c r="H16" s="1255">
        <v>98.75</v>
      </c>
      <c r="I16" s="1062"/>
      <c r="L16" s="1200"/>
      <c r="N16" s="481" t="s">
        <v>386</v>
      </c>
      <c r="O16" s="661" t="s">
        <v>18</v>
      </c>
      <c r="P16" s="489"/>
    </row>
    <row r="17" spans="1:16" s="1057" customFormat="1">
      <c r="A17" s="1250"/>
      <c r="B17" s="1242">
        <f>margins!CM6</f>
        <v>6.8739999999999997</v>
      </c>
      <c r="C17" s="1484">
        <f>margins!CO6-margins!CP6</f>
        <v>97.215625000000003</v>
      </c>
      <c r="D17" s="1486">
        <f>margins!CO6-margins!CP6</f>
        <v>97.215625000000003</v>
      </c>
      <c r="E17" s="1336"/>
      <c r="F17" s="1536" t="s">
        <v>7</v>
      </c>
      <c r="G17" s="1534">
        <v>99.75</v>
      </c>
      <c r="H17" s="1255">
        <v>98.75</v>
      </c>
      <c r="I17" s="1062"/>
      <c r="J17"/>
      <c r="K17"/>
      <c r="L17" s="1200"/>
      <c r="N17" s="481" t="s">
        <v>212</v>
      </c>
      <c r="O17" s="661" t="s">
        <v>116</v>
      </c>
      <c r="P17" s="489">
        <f>IFERROR(INDEX($G$20:$I$23,MATCH(O17,$F$20:$F$22,0),MATCH($N$11,$G$19:$I$19,0),1),0)</f>
        <v>0</v>
      </c>
    </row>
    <row r="18" spans="1:16" s="1057" customFormat="1">
      <c r="A18" s="1250"/>
      <c r="B18" s="1242">
        <f>margins!CM7</f>
        <v>6.9979999999999993</v>
      </c>
      <c r="C18" s="1484">
        <f>margins!CO7-margins!CP7</f>
        <v>97.746875000000003</v>
      </c>
      <c r="D18" s="1486">
        <f>margins!CO7-margins!CP7</f>
        <v>97.746875000000003</v>
      </c>
      <c r="E18" s="1336"/>
      <c r="F18" s="1536" t="s">
        <v>9</v>
      </c>
      <c r="G18" s="1534" t="s">
        <v>14</v>
      </c>
      <c r="H18" s="1255" t="s">
        <v>14</v>
      </c>
      <c r="I18" s="1062"/>
      <c r="L18" s="1200"/>
      <c r="N18" s="481" t="s">
        <v>114</v>
      </c>
      <c r="O18" s="661" t="s">
        <v>167</v>
      </c>
      <c r="P18" s="489">
        <f>IFERROR(INDEX($I$27:$K$31,MATCH(O18,#REF!,0),MATCH($N$11,$I$25:$I$25,0),1),0)</f>
        <v>0</v>
      </c>
    </row>
    <row r="19" spans="1:16" s="1057" customFormat="1">
      <c r="A19" s="1250"/>
      <c r="B19" s="1242">
        <f>margins!CM8</f>
        <v>7.1239999999999997</v>
      </c>
      <c r="C19" s="1484">
        <f>margins!CO8-margins!CP8</f>
        <v>98.278125000000003</v>
      </c>
      <c r="D19" s="1486">
        <f>margins!CO8-margins!CP8</f>
        <v>98.278125000000003</v>
      </c>
      <c r="E19" s="1336"/>
      <c r="F19" s="1536" t="s">
        <v>11</v>
      </c>
      <c r="G19" s="1534">
        <v>98.25</v>
      </c>
      <c r="H19" s="1255">
        <v>98.75</v>
      </c>
      <c r="I19" s="1062"/>
      <c r="L19" s="1200"/>
      <c r="N19" s="481" t="s">
        <v>210</v>
      </c>
      <c r="O19" s="661" t="s">
        <v>203</v>
      </c>
      <c r="P19" s="489">
        <f t="shared" ref="P19:P25" si="0">IFERROR(INDEX($G$31:$K$53,MATCH(O19,$F$32:$F$53,0),MATCH($N$11,$I$30:$K$30,0),1),0)</f>
        <v>0</v>
      </c>
    </row>
    <row r="20" spans="1:16" s="1057" customFormat="1" ht="15.75" thickBot="1">
      <c r="A20" s="1250"/>
      <c r="B20" s="1242">
        <f>margins!CM9</f>
        <v>7.2489999999999997</v>
      </c>
      <c r="C20" s="1484">
        <f>margins!CO9-margins!CP9</f>
        <v>98.809375000000003</v>
      </c>
      <c r="D20" s="1486">
        <f>margins!CO9-margins!CP9</f>
        <v>98.809375000000003</v>
      </c>
      <c r="E20" s="1336"/>
      <c r="F20" s="1537" t="s">
        <v>101</v>
      </c>
      <c r="G20" s="1535">
        <v>98.25</v>
      </c>
      <c r="H20" s="1254">
        <v>98.25</v>
      </c>
      <c r="I20" s="1062"/>
      <c r="L20" s="1200"/>
      <c r="N20" s="481" t="s">
        <v>310</v>
      </c>
      <c r="O20" s="661" t="s">
        <v>203</v>
      </c>
      <c r="P20" s="489">
        <f t="shared" si="0"/>
        <v>0</v>
      </c>
    </row>
    <row r="21" spans="1:16" s="1057" customFormat="1">
      <c r="A21" s="1250"/>
      <c r="B21" s="1242">
        <f>margins!CM10</f>
        <v>7.3739999999999997</v>
      </c>
      <c r="C21" s="1484">
        <f>margins!CO10-margins!CP10</f>
        <v>99.325000000000003</v>
      </c>
      <c r="D21" s="1486">
        <f>margins!CO10-margins!CP10</f>
        <v>99.325000000000003</v>
      </c>
      <c r="E21" s="1336"/>
      <c r="F21" s="1251"/>
      <c r="G21" s="1251"/>
      <c r="H21" s="1205"/>
      <c r="I21" s="1062"/>
      <c r="L21" s="1200"/>
      <c r="N21" s="481" t="s">
        <v>56</v>
      </c>
      <c r="O21" s="661" t="s">
        <v>203</v>
      </c>
      <c r="P21" s="489">
        <f t="shared" si="0"/>
        <v>0</v>
      </c>
    </row>
    <row r="22" spans="1:16" s="1057" customFormat="1">
      <c r="A22" s="1250"/>
      <c r="B22" s="1242">
        <f>margins!CM11</f>
        <v>7.4989999999999997</v>
      </c>
      <c r="C22" s="1484">
        <f>margins!CO11-margins!CP11</f>
        <v>99.825000000000003</v>
      </c>
      <c r="D22" s="1486">
        <f>margins!CO11-margins!CP11</f>
        <v>99.825000000000003</v>
      </c>
      <c r="E22" s="1336"/>
      <c r="F22" s="1201"/>
      <c r="G22" s="1201"/>
      <c r="I22" s="1202"/>
      <c r="L22" s="1200"/>
      <c r="N22" s="481" t="s">
        <v>339</v>
      </c>
      <c r="O22" s="661" t="s">
        <v>203</v>
      </c>
      <c r="P22" s="489">
        <f t="shared" si="0"/>
        <v>0</v>
      </c>
    </row>
    <row r="23" spans="1:16" s="1057" customFormat="1" ht="15.75" thickBot="1">
      <c r="A23" s="1203"/>
      <c r="B23" s="1242">
        <f>margins!CM12</f>
        <v>7.6239999999999997</v>
      </c>
      <c r="C23" s="1484">
        <f>margins!CO12-margins!CP12</f>
        <v>100.325</v>
      </c>
      <c r="D23" s="1486">
        <f>margins!CO12-margins!CP12</f>
        <v>100.325</v>
      </c>
      <c r="E23" s="1336"/>
      <c r="F23" s="1202" t="s">
        <v>641</v>
      </c>
      <c r="G23" s="1201"/>
      <c r="H23" s="1201"/>
      <c r="I23" s="1202"/>
      <c r="L23" s="1200"/>
      <c r="N23" s="481" t="s">
        <v>62</v>
      </c>
      <c r="O23" s="661" t="s">
        <v>203</v>
      </c>
      <c r="P23" s="489">
        <f t="shared" si="0"/>
        <v>0</v>
      </c>
    </row>
    <row r="24" spans="1:16" s="1057" customFormat="1" ht="14.25" customHeight="1">
      <c r="A24" s="1203"/>
      <c r="B24" s="1242">
        <f>margins!CM13</f>
        <v>7.7489999999999997</v>
      </c>
      <c r="C24" s="1484">
        <f>margins!CO13-margins!CP13</f>
        <v>100.825</v>
      </c>
      <c r="D24" s="1486">
        <f>margins!CO13-margins!CP13</f>
        <v>100.825</v>
      </c>
      <c r="E24" s="1336"/>
      <c r="F24" s="1846" t="s">
        <v>148</v>
      </c>
      <c r="G24" s="1847"/>
      <c r="H24" s="1848"/>
      <c r="I24" s="1202"/>
      <c r="L24" s="1200"/>
      <c r="N24" s="481" t="s">
        <v>675</v>
      </c>
      <c r="O24" s="661" t="s">
        <v>203</v>
      </c>
      <c r="P24" s="489">
        <f t="shared" si="0"/>
        <v>0</v>
      </c>
    </row>
    <row r="25" spans="1:16" s="1057" customFormat="1">
      <c r="A25" s="1203"/>
      <c r="B25" s="1242">
        <f>margins!CM14</f>
        <v>7.8739999999999997</v>
      </c>
      <c r="C25" s="1484">
        <f>margins!CO14-margins!CP14</f>
        <v>101.2625</v>
      </c>
      <c r="D25" s="1486">
        <f>margins!CO14-margins!CP14</f>
        <v>101.2625</v>
      </c>
      <c r="E25" s="1336"/>
      <c r="F25" s="1834"/>
      <c r="G25" s="1835"/>
      <c r="H25" s="1836"/>
      <c r="L25" s="1200"/>
      <c r="N25" s="481" t="s">
        <v>676</v>
      </c>
      <c r="O25" s="661" t="s">
        <v>203</v>
      </c>
      <c r="P25" s="489">
        <f t="shared" si="0"/>
        <v>0</v>
      </c>
    </row>
    <row r="26" spans="1:16" s="1057" customFormat="1" ht="14.25" customHeight="1">
      <c r="A26" s="1203"/>
      <c r="B26" s="1242">
        <f>margins!CM15</f>
        <v>7.9979999999999993</v>
      </c>
      <c r="C26" s="1484">
        <f>margins!CO15-margins!CP15</f>
        <v>101.575</v>
      </c>
      <c r="D26" s="1486">
        <f>margins!CO15-margins!CP15</f>
        <v>101.575</v>
      </c>
      <c r="E26" s="1336"/>
      <c r="F26" s="1834" t="s">
        <v>746</v>
      </c>
      <c r="G26" s="1835"/>
      <c r="H26" s="1836"/>
      <c r="L26" s="1200"/>
      <c r="N26" s="481" t="s">
        <v>600</v>
      </c>
      <c r="O26" s="661" t="s">
        <v>203</v>
      </c>
      <c r="P26" s="489">
        <f>IFERROR(INDEX($G$31:$K$50,MATCH(O26,$F$32:$F$50,0),MATCH($N$11,$I$30:$K$30,0),1),0)</f>
        <v>0</v>
      </c>
    </row>
    <row r="27" spans="1:16" s="1057" customFormat="1">
      <c r="A27" s="1203"/>
      <c r="B27" s="1242">
        <f>margins!CM16</f>
        <v>8.1240000000000006</v>
      </c>
      <c r="C27" s="1484">
        <f>margins!CO16-margins!CP16</f>
        <v>101.825</v>
      </c>
      <c r="D27" s="1486">
        <f>margins!CO16-margins!CP16</f>
        <v>101.825</v>
      </c>
      <c r="E27" s="1336"/>
      <c r="F27" s="1834"/>
      <c r="G27" s="1835"/>
      <c r="H27" s="1836"/>
      <c r="L27" s="1200"/>
      <c r="N27" s="481" t="s">
        <v>216</v>
      </c>
      <c r="O27" s="661" t="s">
        <v>203</v>
      </c>
      <c r="P27" s="489">
        <f>IFERROR(INDEX($G$51:$K$53,MATCH(O27,$F$51:$F$53,0),MATCH($N$11,$I$30:$K$30,0),1),0)</f>
        <v>0</v>
      </c>
    </row>
    <row r="28" spans="1:16" s="1057" customFormat="1" ht="14.25" customHeight="1">
      <c r="A28" s="1203"/>
      <c r="B28" s="1242">
        <f>margins!CM17</f>
        <v>8.2490000000000006</v>
      </c>
      <c r="C28" s="1484">
        <f>margins!CO17-margins!CP17</f>
        <v>102.075</v>
      </c>
      <c r="D28" s="1486">
        <f>margins!CO17-margins!CP17</f>
        <v>102.075</v>
      </c>
      <c r="E28" s="1336"/>
      <c r="F28" s="1834" t="s">
        <v>747</v>
      </c>
      <c r="G28" s="1835"/>
      <c r="H28" s="1836"/>
      <c r="L28" s="1200"/>
      <c r="N28" s="481" t="s">
        <v>217</v>
      </c>
      <c r="O28" s="661">
        <v>30</v>
      </c>
      <c r="P28" s="489">
        <f>IF(OR(O28=15, O28="Choose a Selection"),0,IF(O28=30,H13, 0))</f>
        <v>0</v>
      </c>
    </row>
    <row r="29" spans="1:16" s="1057" customFormat="1" ht="15.75" thickBot="1">
      <c r="A29" s="1203"/>
      <c r="B29" s="1242">
        <f>margins!CM18</f>
        <v>8.3740000000000006</v>
      </c>
      <c r="C29" s="1484">
        <f>margins!CO18-margins!CP18</f>
        <v>102.325</v>
      </c>
      <c r="D29" s="1486">
        <f>margins!CO18-margins!CP18</f>
        <v>102.325</v>
      </c>
      <c r="E29" s="1336"/>
      <c r="F29" s="1834"/>
      <c r="G29" s="1835"/>
      <c r="H29" s="1836"/>
      <c r="L29" s="1200"/>
      <c r="N29" s="482" t="s">
        <v>218</v>
      </c>
      <c r="O29" s="1017"/>
      <c r="P29" s="490">
        <f>SUM(P17:P28)</f>
        <v>0</v>
      </c>
    </row>
    <row r="30" spans="1:16" s="1057" customFormat="1" ht="15" customHeight="1" thickBot="1">
      <c r="A30" s="1203"/>
      <c r="B30" s="1242">
        <f>margins!CM19</f>
        <v>8.4990000000000006</v>
      </c>
      <c r="C30" s="1484">
        <f>margins!CO19-margins!CP19</f>
        <v>102.575</v>
      </c>
      <c r="D30" s="1486">
        <f>margins!CO19-margins!CP19</f>
        <v>102.575</v>
      </c>
      <c r="E30" s="1336"/>
      <c r="F30" s="1834" t="s">
        <v>238</v>
      </c>
      <c r="G30" s="1835"/>
      <c r="H30" s="1836"/>
      <c r="L30" s="1200"/>
      <c r="N30" s="473"/>
      <c r="O30" s="474"/>
      <c r="P30" s="483"/>
    </row>
    <row r="31" spans="1:16" s="1057" customFormat="1" ht="15.75" thickBot="1">
      <c r="A31" s="1203"/>
      <c r="B31" s="1242">
        <f>margins!CM20</f>
        <v>8.6240000000000006</v>
      </c>
      <c r="C31" s="1484">
        <f>margins!CO20-margins!CP20</f>
        <v>102.825</v>
      </c>
      <c r="D31" s="1486">
        <f>margins!CO20-margins!CP20</f>
        <v>102.825</v>
      </c>
      <c r="E31" s="1336"/>
      <c r="F31" s="1837"/>
      <c r="G31" s="1838"/>
      <c r="H31" s="1839"/>
      <c r="L31" s="1200"/>
      <c r="N31" s="475" t="s">
        <v>219</v>
      </c>
      <c r="O31" s="476"/>
      <c r="P31" s="1016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1057" customFormat="1" ht="15.75" thickBot="1">
      <c r="A32" s="1203"/>
      <c r="B32" s="1242">
        <f>margins!CM21</f>
        <v>8.7490000000000006</v>
      </c>
      <c r="C32" s="1484">
        <f>margins!CO21-margins!CP21</f>
        <v>103.075</v>
      </c>
      <c r="D32" s="1486">
        <f>margins!CO21-margins!CP21</f>
        <v>103.075</v>
      </c>
      <c r="E32" s="1336"/>
      <c r="G32" s="1202"/>
      <c r="H32" s="1201"/>
      <c r="L32" s="1200"/>
      <c r="N32" s="470"/>
      <c r="O32" s="470"/>
      <c r="P32" s="470"/>
    </row>
    <row r="33" spans="1:16" s="1057" customFormat="1" ht="15.75" thickBot="1">
      <c r="A33" s="1203"/>
      <c r="B33" s="1242">
        <f>margins!CM22</f>
        <v>8.8740000000000006</v>
      </c>
      <c r="C33" s="1484">
        <f>margins!CO22-margins!CP22</f>
        <v>103.325</v>
      </c>
      <c r="D33" s="1486">
        <f>margins!CO22-margins!CP22</f>
        <v>103.325</v>
      </c>
      <c r="E33" s="1336"/>
      <c r="G33" s="1202"/>
      <c r="H33" s="1201"/>
      <c r="L33" s="1200"/>
      <c r="N33" s="849" t="s">
        <v>482</v>
      </c>
      <c r="O33" s="850"/>
      <c r="P33" s="851"/>
    </row>
    <row r="34" spans="1:16" s="1057" customFormat="1">
      <c r="A34" s="1203"/>
      <c r="B34" s="1242">
        <f>margins!CM23</f>
        <v>8.9980000000000011</v>
      </c>
      <c r="C34" s="1484">
        <f>margins!CO23-margins!CP23</f>
        <v>103.575</v>
      </c>
      <c r="D34" s="1486">
        <f>margins!CO23-margins!CP23</f>
        <v>103.575</v>
      </c>
      <c r="E34" s="1336"/>
      <c r="G34" s="1202"/>
      <c r="L34" s="1200"/>
    </row>
    <row r="35" spans="1:16" s="1057" customFormat="1">
      <c r="A35" s="1203"/>
      <c r="B35" s="1242">
        <f>margins!CM24</f>
        <v>9.1240000000000006</v>
      </c>
      <c r="C35" s="1484">
        <f>margins!CO24-margins!CP24</f>
        <v>103.825</v>
      </c>
      <c r="D35" s="1486">
        <f>margins!CO24-margins!CP24</f>
        <v>103.825</v>
      </c>
      <c r="E35" s="1336"/>
      <c r="G35" s="1202"/>
      <c r="L35" s="1200"/>
    </row>
    <row r="36" spans="1:16" s="1057" customFormat="1">
      <c r="A36" s="1203"/>
      <c r="B36" s="1242">
        <f>margins!CM25</f>
        <v>9.2490000000000006</v>
      </c>
      <c r="C36" s="1484">
        <f>margins!CO25-margins!CP25</f>
        <v>104.075</v>
      </c>
      <c r="D36" s="1486">
        <f>margins!CO25-margins!CP25</f>
        <v>104.075</v>
      </c>
      <c r="E36" s="1336"/>
      <c r="G36" s="1202"/>
      <c r="L36" s="1200"/>
    </row>
    <row r="37" spans="1:16" s="1057" customFormat="1">
      <c r="A37" s="1203"/>
      <c r="B37" s="1242">
        <f>margins!CM26</f>
        <v>9.3740000000000006</v>
      </c>
      <c r="C37" s="1484">
        <f>margins!CO26-margins!CP26</f>
        <v>104.325</v>
      </c>
      <c r="D37" s="1486">
        <f>margins!CO26-margins!CP26</f>
        <v>104.325</v>
      </c>
      <c r="E37" s="1336"/>
      <c r="G37" s="1202"/>
      <c r="L37" s="1200"/>
    </row>
    <row r="38" spans="1:16" s="1057" customFormat="1">
      <c r="A38" s="1203"/>
      <c r="B38" s="1242">
        <f>margins!CM27</f>
        <v>9.4990000000000006</v>
      </c>
      <c r="C38" s="1484">
        <f>margins!CO27-margins!CP27</f>
        <v>104.575</v>
      </c>
      <c r="D38" s="1486">
        <f>margins!CO27-margins!CP27</f>
        <v>104.575</v>
      </c>
      <c r="E38" s="1336"/>
      <c r="G38" s="1202"/>
      <c r="L38" s="1200"/>
    </row>
    <row r="39" spans="1:16" s="1057" customFormat="1">
      <c r="A39" s="1203"/>
      <c r="B39" s="1242">
        <f>margins!CM28</f>
        <v>9.6240000000000006</v>
      </c>
      <c r="C39" s="1484">
        <f>margins!CO28-margins!CP28</f>
        <v>104.825</v>
      </c>
      <c r="D39" s="1486">
        <f>margins!CO28-margins!CP28</f>
        <v>104.825</v>
      </c>
      <c r="E39" s="1336"/>
      <c r="G39" s="1202"/>
      <c r="L39" s="1200"/>
    </row>
    <row r="40" spans="1:16" s="1057" customFormat="1">
      <c r="A40" s="1203"/>
      <c r="B40" s="1242">
        <f>margins!CM29</f>
        <v>9.7490000000000006</v>
      </c>
      <c r="C40" s="1484">
        <f>margins!CO29-margins!CP29</f>
        <v>105.075</v>
      </c>
      <c r="D40" s="1486">
        <f>margins!CO29-margins!CP29</f>
        <v>105.075</v>
      </c>
      <c r="E40" s="1336"/>
      <c r="G40" s="1202"/>
      <c r="L40" s="1200"/>
    </row>
    <row r="41" spans="1:16" s="1057" customFormat="1">
      <c r="A41" s="1203"/>
      <c r="B41" s="1242">
        <f>margins!CM30</f>
        <v>9.8740000000000006</v>
      </c>
      <c r="C41" s="1484">
        <f>margins!CO30-margins!CP30</f>
        <v>105.325</v>
      </c>
      <c r="D41" s="1486">
        <f>margins!CO30-margins!CP30</f>
        <v>105.325</v>
      </c>
      <c r="E41" s="1336"/>
      <c r="G41" s="1202"/>
      <c r="L41" s="1200"/>
    </row>
    <row r="42" spans="1:16" s="1057" customFormat="1">
      <c r="A42" s="1203"/>
      <c r="B42" s="1242">
        <f>margins!CM31</f>
        <v>9.9980000000000011</v>
      </c>
      <c r="C42" s="1484">
        <f>margins!CO31-margins!CP31</f>
        <v>105.575</v>
      </c>
      <c r="D42" s="1486">
        <f>margins!CO31-margins!CP31</f>
        <v>105.575</v>
      </c>
      <c r="E42" s="1336"/>
      <c r="G42" s="1202"/>
      <c r="L42" s="1200"/>
    </row>
    <row r="43" spans="1:16" s="1057" customFormat="1">
      <c r="A43" s="1203"/>
      <c r="B43" s="1242">
        <f>margins!CM32</f>
        <v>10.124000000000001</v>
      </c>
      <c r="C43" s="1484">
        <f>margins!CO32-margins!CP32</f>
        <v>105.825</v>
      </c>
      <c r="D43" s="1486">
        <f>margins!CO32-margins!CP32</f>
        <v>105.825</v>
      </c>
      <c r="E43" s="1336"/>
      <c r="G43" s="1202"/>
      <c r="L43" s="1200"/>
    </row>
    <row r="44" spans="1:16" s="1057" customFormat="1">
      <c r="A44" s="1203"/>
      <c r="B44" s="1242">
        <f>margins!CM33</f>
        <v>10.249000000000001</v>
      </c>
      <c r="C44" s="1484">
        <f>margins!CO33-margins!CP33</f>
        <v>106.075</v>
      </c>
      <c r="D44" s="1486">
        <f>margins!CO33-margins!CP33</f>
        <v>106.075</v>
      </c>
      <c r="E44" s="1336"/>
      <c r="G44" s="1202"/>
      <c r="L44" s="1200"/>
    </row>
    <row r="45" spans="1:16" s="1057" customFormat="1">
      <c r="A45" s="1203"/>
      <c r="B45" s="1242">
        <f>margins!CM34</f>
        <v>10.374000000000001</v>
      </c>
      <c r="C45" s="1484">
        <f>margins!CO34-margins!CP34</f>
        <v>106.325</v>
      </c>
      <c r="D45" s="1486">
        <f>margins!CO34-margins!CP34</f>
        <v>106.325</v>
      </c>
      <c r="E45" s="1336"/>
      <c r="G45" s="1202"/>
      <c r="L45" s="1200"/>
    </row>
    <row r="46" spans="1:16" s="1057" customFormat="1">
      <c r="A46" s="1203"/>
      <c r="B46" s="1242">
        <f>margins!CM35</f>
        <v>10.499000000000001</v>
      </c>
      <c r="C46" s="1484">
        <f>margins!CO35-margins!CP35</f>
        <v>106.575</v>
      </c>
      <c r="D46" s="1486">
        <f>margins!CO35-margins!CP35</f>
        <v>106.575</v>
      </c>
      <c r="E46" s="1336"/>
      <c r="G46" s="1202"/>
      <c r="L46" s="1200"/>
    </row>
    <row r="47" spans="1:16" s="1057" customFormat="1">
      <c r="A47" s="1203"/>
      <c r="B47" s="1242">
        <f>margins!CM36</f>
        <v>10.624000000000001</v>
      </c>
      <c r="C47" s="1484">
        <f>margins!CO36-margins!CP36</f>
        <v>106.825</v>
      </c>
      <c r="D47" s="1486">
        <f>margins!CO36-margins!CP36</f>
        <v>106.825</v>
      </c>
      <c r="E47" s="1336"/>
      <c r="G47" s="1202"/>
      <c r="L47" s="1200"/>
    </row>
    <row r="48" spans="1:16" s="1057" customFormat="1" ht="15.75" thickBot="1">
      <c r="A48" s="1203"/>
      <c r="B48" s="1238">
        <f>margins!CM37</f>
        <v>10.749000000000001</v>
      </c>
      <c r="C48" s="1532">
        <f>margins!CO37-margins!CP37</f>
        <v>107.075</v>
      </c>
      <c r="D48" s="1533">
        <f>margins!CO37-margins!CP37</f>
        <v>107.075</v>
      </c>
      <c r="E48" s="1336"/>
      <c r="G48" s="1202"/>
      <c r="L48" s="1200"/>
    </row>
    <row r="49" spans="1:12" s="1057" customFormat="1">
      <c r="A49" s="1203"/>
      <c r="B49" s="1235"/>
      <c r="C49" s="1234"/>
      <c r="D49" s="1336"/>
      <c r="G49" s="1202"/>
      <c r="H49" s="1201"/>
      <c r="L49" s="1200"/>
    </row>
    <row r="50" spans="1:12" s="1057" customFormat="1" ht="15.75" thickBot="1">
      <c r="A50" s="1203"/>
      <c r="G50" s="1202"/>
      <c r="H50" s="1201"/>
      <c r="L50" s="1200"/>
    </row>
    <row r="51" spans="1:12" s="1057" customFormat="1" ht="15.75" thickBot="1">
      <c r="A51" s="1203"/>
      <c r="B51" s="1852" t="s">
        <v>244</v>
      </c>
      <c r="C51" s="1852"/>
      <c r="D51" s="1852"/>
      <c r="E51" s="2058" t="s">
        <v>329</v>
      </c>
      <c r="F51" s="2059"/>
      <c r="G51" s="2059"/>
      <c r="H51" s="2059"/>
      <c r="I51" s="2059"/>
      <c r="J51" s="2060"/>
      <c r="L51" s="1200"/>
    </row>
    <row r="52" spans="1:12" s="1057" customFormat="1" ht="15.75" thickBot="1">
      <c r="A52" s="1203"/>
      <c r="B52" s="1441"/>
      <c r="C52" s="1454"/>
      <c r="D52" s="1525" t="s">
        <v>203</v>
      </c>
      <c r="E52" s="1222" t="s">
        <v>15</v>
      </c>
      <c r="F52" s="1437" t="s">
        <v>16</v>
      </c>
      <c r="G52" s="1425" t="s">
        <v>17</v>
      </c>
      <c r="H52" s="1425" t="s">
        <v>18</v>
      </c>
      <c r="I52" s="1437" t="s">
        <v>19</v>
      </c>
      <c r="J52" s="1440" t="s">
        <v>20</v>
      </c>
      <c r="L52" s="1200"/>
    </row>
    <row r="53" spans="1:12" s="1057" customFormat="1">
      <c r="A53" s="1203"/>
      <c r="B53" s="1749" t="s">
        <v>167</v>
      </c>
      <c r="C53" s="1791" t="s">
        <v>116</v>
      </c>
      <c r="D53" s="2057"/>
      <c r="E53" s="1555">
        <v>0.875</v>
      </c>
      <c r="F53" s="1556">
        <v>0.875</v>
      </c>
      <c r="G53" s="1556">
        <v>0.875</v>
      </c>
      <c r="H53" s="1556">
        <v>0.875</v>
      </c>
      <c r="I53" s="1556">
        <v>0.625</v>
      </c>
      <c r="J53" s="1557">
        <v>0</v>
      </c>
      <c r="L53" s="1200"/>
    </row>
    <row r="54" spans="1:12" s="1057" customFormat="1">
      <c r="A54" s="1203"/>
      <c r="B54" s="1749"/>
      <c r="C54" s="1791" t="s">
        <v>24</v>
      </c>
      <c r="D54" s="2057"/>
      <c r="E54" s="1549">
        <v>0.875</v>
      </c>
      <c r="F54" s="1544">
        <v>0.875</v>
      </c>
      <c r="G54" s="1544">
        <v>0.75</v>
      </c>
      <c r="H54" s="1544">
        <v>0.75</v>
      </c>
      <c r="I54" s="1544">
        <v>0.25</v>
      </c>
      <c r="J54" s="1550">
        <v>-0.25</v>
      </c>
      <c r="L54" s="1200"/>
    </row>
    <row r="55" spans="1:12" s="1057" customFormat="1">
      <c r="A55" s="1203"/>
      <c r="B55" s="1749"/>
      <c r="C55" s="1791" t="s">
        <v>25</v>
      </c>
      <c r="D55" s="2057"/>
      <c r="E55" s="1549">
        <v>0.75</v>
      </c>
      <c r="F55" s="1544">
        <v>0.75</v>
      </c>
      <c r="G55" s="1544">
        <v>0.625</v>
      </c>
      <c r="H55" s="1544">
        <v>0.5</v>
      </c>
      <c r="I55" s="1544">
        <v>0</v>
      </c>
      <c r="J55" s="1550">
        <v>-0.75</v>
      </c>
      <c r="L55" s="1200"/>
    </row>
    <row r="56" spans="1:12" s="1057" customFormat="1" ht="15.75" thickBot="1">
      <c r="A56" s="1203"/>
      <c r="B56" s="1749"/>
      <c r="C56" s="1791" t="s">
        <v>768</v>
      </c>
      <c r="D56" s="2057"/>
      <c r="E56" s="1551">
        <v>0</v>
      </c>
      <c r="F56" s="1545">
        <v>-0.125</v>
      </c>
      <c r="G56" s="1545">
        <v>-0.5</v>
      </c>
      <c r="H56" s="1545">
        <v>-0.625</v>
      </c>
      <c r="I56" s="1545">
        <v>-1</v>
      </c>
      <c r="J56" s="1552" t="s">
        <v>514</v>
      </c>
      <c r="L56" s="1200"/>
    </row>
    <row r="57" spans="1:12" s="1057" customFormat="1">
      <c r="A57" s="1203"/>
      <c r="B57" s="1746" t="s">
        <v>697</v>
      </c>
      <c r="C57" s="1720" t="s">
        <v>167</v>
      </c>
      <c r="D57" s="1721"/>
      <c r="E57" s="1553">
        <v>-0.5</v>
      </c>
      <c r="F57" s="1546">
        <v>-0.5</v>
      </c>
      <c r="G57" s="1546">
        <v>-0.5</v>
      </c>
      <c r="H57" s="1546">
        <v>-0.5</v>
      </c>
      <c r="I57" s="1546">
        <v>-0.5</v>
      </c>
      <c r="J57" s="1547">
        <v>-0.5</v>
      </c>
      <c r="L57" s="1200"/>
    </row>
    <row r="58" spans="1:12" s="1057" customFormat="1" ht="15.75" thickBot="1">
      <c r="A58" s="1203"/>
      <c r="B58" s="1748"/>
      <c r="C58" s="1737" t="s">
        <v>671</v>
      </c>
      <c r="D58" s="1738"/>
      <c r="E58" s="1554">
        <v>0.25</v>
      </c>
      <c r="F58" s="1548">
        <v>0.25</v>
      </c>
      <c r="G58" s="1548">
        <v>0.25</v>
      </c>
      <c r="H58" s="1548">
        <v>0.25</v>
      </c>
      <c r="I58" s="1548">
        <v>0.25</v>
      </c>
      <c r="J58" s="1508">
        <v>0.375</v>
      </c>
      <c r="L58" s="1200"/>
    </row>
    <row r="59" spans="1:12" s="1057" customFormat="1" ht="15.75" thickBot="1">
      <c r="A59" s="1203"/>
      <c r="B59" s="1206"/>
      <c r="C59" s="1206"/>
      <c r="D59" s="1206"/>
      <c r="E59" s="1206"/>
      <c r="F59" s="1290"/>
      <c r="G59" s="1334"/>
      <c r="H59" s="1290"/>
      <c r="I59" s="1290"/>
      <c r="J59" s="1334"/>
      <c r="K59" s="1333"/>
      <c r="L59" s="1200"/>
    </row>
    <row r="60" spans="1:12" s="1057" customFormat="1" ht="15.75" thickBot="1">
      <c r="A60" s="1203"/>
      <c r="B60" s="1852" t="s">
        <v>763</v>
      </c>
      <c r="C60" s="1852"/>
      <c r="D60" s="1852"/>
      <c r="E60" s="1743" t="s">
        <v>329</v>
      </c>
      <c r="F60" s="1744"/>
      <c r="G60" s="1744"/>
      <c r="H60" s="1744"/>
      <c r="I60" s="1744"/>
      <c r="J60" s="1745"/>
      <c r="K60" s="1249"/>
      <c r="L60" s="1200"/>
    </row>
    <row r="61" spans="1:12" s="1057" customFormat="1" ht="15.75" thickBot="1">
      <c r="A61" s="1203"/>
      <c r="B61" s="1708"/>
      <c r="C61" s="1721"/>
      <c r="D61" s="1721"/>
      <c r="E61" s="1332" t="s">
        <v>15</v>
      </c>
      <c r="F61" s="1331" t="s">
        <v>16</v>
      </c>
      <c r="G61" s="1330" t="s">
        <v>17</v>
      </c>
      <c r="H61" s="1329" t="s">
        <v>18</v>
      </c>
      <c r="I61" s="1328" t="s">
        <v>19</v>
      </c>
      <c r="J61" s="1327" t="s">
        <v>20</v>
      </c>
      <c r="L61" s="1200"/>
    </row>
    <row r="62" spans="1:12" s="1057" customFormat="1">
      <c r="A62" s="1203"/>
      <c r="B62" s="1788" t="s">
        <v>210</v>
      </c>
      <c r="C62" s="1717" t="s">
        <v>672</v>
      </c>
      <c r="D62" s="1718"/>
      <c r="E62" s="1553">
        <v>-0.25</v>
      </c>
      <c r="F62" s="1546">
        <v>-0.25</v>
      </c>
      <c r="G62" s="1546">
        <v>-0.25</v>
      </c>
      <c r="H62" s="1546">
        <v>-0.25</v>
      </c>
      <c r="I62" s="1546">
        <v>-0.25</v>
      </c>
      <c r="J62" s="1547">
        <v>-0.5</v>
      </c>
      <c r="L62" s="1200"/>
    </row>
    <row r="63" spans="1:12" s="1057" customFormat="1" ht="15.75" thickBot="1">
      <c r="A63" s="1203"/>
      <c r="B63" s="1789"/>
      <c r="C63" s="1711" t="s">
        <v>673</v>
      </c>
      <c r="D63" s="1712"/>
      <c r="E63" s="1554">
        <v>-0.25</v>
      </c>
      <c r="F63" s="1548">
        <v>-0.25</v>
      </c>
      <c r="G63" s="1548">
        <v>-0.25</v>
      </c>
      <c r="H63" s="1548">
        <v>-0.25</v>
      </c>
      <c r="I63" s="1548">
        <v>-0.25</v>
      </c>
      <c r="J63" s="1508">
        <v>-0.5</v>
      </c>
      <c r="L63" s="1200"/>
    </row>
    <row r="64" spans="1:12" s="1057" customFormat="1">
      <c r="A64" s="1203"/>
      <c r="B64" s="1788" t="s">
        <v>47</v>
      </c>
      <c r="C64" s="1750" t="s">
        <v>585</v>
      </c>
      <c r="D64" s="1751"/>
      <c r="E64" s="1555">
        <v>0</v>
      </c>
      <c r="F64" s="1556">
        <v>0</v>
      </c>
      <c r="G64" s="1556">
        <v>0</v>
      </c>
      <c r="H64" s="1556">
        <v>0</v>
      </c>
      <c r="I64" s="1556">
        <v>0</v>
      </c>
      <c r="J64" s="1557">
        <v>0</v>
      </c>
      <c r="L64" s="1200"/>
    </row>
    <row r="65" spans="1:12" s="1057" customFormat="1">
      <c r="A65" s="1203"/>
      <c r="B65" s="1749"/>
      <c r="C65" s="1714" t="s">
        <v>586</v>
      </c>
      <c r="D65" s="1715"/>
      <c r="E65" s="1549">
        <v>-0.125</v>
      </c>
      <c r="F65" s="1544">
        <v>-0.125</v>
      </c>
      <c r="G65" s="1544">
        <v>-0.25</v>
      </c>
      <c r="H65" s="1544">
        <v>-0.25</v>
      </c>
      <c r="I65" s="1544">
        <v>-0.375</v>
      </c>
      <c r="J65" s="1550">
        <v>-0.5</v>
      </c>
      <c r="L65" s="1200"/>
    </row>
    <row r="66" spans="1:12" s="1057" customFormat="1">
      <c r="A66" s="1203"/>
      <c r="B66" s="1749"/>
      <c r="C66" s="1714" t="s">
        <v>587</v>
      </c>
      <c r="D66" s="1715"/>
      <c r="E66" s="1549">
        <v>-0.125</v>
      </c>
      <c r="F66" s="1544">
        <v>-0.125</v>
      </c>
      <c r="G66" s="1544">
        <v>-0.25</v>
      </c>
      <c r="H66" s="1544">
        <v>-0.375</v>
      </c>
      <c r="I66" s="1544">
        <v>-0.5</v>
      </c>
      <c r="J66" s="1550">
        <v>-1.5</v>
      </c>
      <c r="L66" s="1200"/>
    </row>
    <row r="67" spans="1:12" s="1057" customFormat="1" ht="15.75" thickBot="1">
      <c r="A67" s="1203"/>
      <c r="B67" s="1789"/>
      <c r="C67" s="1740" t="s">
        <v>588</v>
      </c>
      <c r="D67" s="1741"/>
      <c r="E67" s="1551">
        <v>-0.375</v>
      </c>
      <c r="F67" s="1545">
        <v>-0.375</v>
      </c>
      <c r="G67" s="1545">
        <v>-0.375</v>
      </c>
      <c r="H67" s="1545">
        <v>-0.5</v>
      </c>
      <c r="I67" s="1545">
        <v>-0.75</v>
      </c>
      <c r="J67" s="1552">
        <v>-1.625</v>
      </c>
      <c r="L67" s="1200"/>
    </row>
    <row r="68" spans="1:12" s="1057" customFormat="1">
      <c r="A68" s="1203"/>
      <c r="B68" s="1788" t="s">
        <v>56</v>
      </c>
      <c r="C68" s="1717" t="s">
        <v>592</v>
      </c>
      <c r="D68" s="1718"/>
      <c r="E68" s="1553">
        <v>0</v>
      </c>
      <c r="F68" s="1546">
        <v>0</v>
      </c>
      <c r="G68" s="1546">
        <v>0</v>
      </c>
      <c r="H68" s="1546">
        <v>0</v>
      </c>
      <c r="I68" s="1546">
        <v>0</v>
      </c>
      <c r="J68" s="1547">
        <v>0</v>
      </c>
      <c r="L68" s="1200"/>
    </row>
    <row r="69" spans="1:12" s="1057" customFormat="1" ht="15.75" thickBot="1">
      <c r="A69" s="1203"/>
      <c r="B69" s="1789"/>
      <c r="C69" s="1711" t="s">
        <v>604</v>
      </c>
      <c r="D69" s="1712"/>
      <c r="E69" s="1554">
        <v>0</v>
      </c>
      <c r="F69" s="1548">
        <v>0</v>
      </c>
      <c r="G69" s="1548">
        <v>-0.25</v>
      </c>
      <c r="H69" s="1548">
        <v>-0.5</v>
      </c>
      <c r="I69" s="1548">
        <v>-0.75</v>
      </c>
      <c r="J69" s="1508" t="s">
        <v>514</v>
      </c>
      <c r="L69" s="1200"/>
    </row>
    <row r="70" spans="1:12" s="1057" customFormat="1" ht="15.75" thickBot="1">
      <c r="A70" s="1203"/>
      <c r="B70" s="1222" t="s">
        <v>339</v>
      </c>
      <c r="C70" s="1791" t="s">
        <v>769</v>
      </c>
      <c r="D70" s="2057"/>
      <c r="E70" s="1559">
        <v>-1.25</v>
      </c>
      <c r="F70" s="1558">
        <v>-1.25</v>
      </c>
      <c r="G70" s="1558">
        <v>-1.25</v>
      </c>
      <c r="H70" s="1558">
        <v>-1.25</v>
      </c>
      <c r="I70" s="1558">
        <v>-1.75</v>
      </c>
      <c r="J70" s="1560" t="s">
        <v>514</v>
      </c>
      <c r="L70" s="1200"/>
    </row>
    <row r="71" spans="1:12" s="1057" customFormat="1">
      <c r="A71" s="1203"/>
      <c r="B71" s="1788" t="s">
        <v>62</v>
      </c>
      <c r="C71" s="1717" t="s">
        <v>711</v>
      </c>
      <c r="D71" s="1718"/>
      <c r="E71" s="1553">
        <v>-3.75</v>
      </c>
      <c r="F71" s="1546">
        <v>-3.75</v>
      </c>
      <c r="G71" s="1546">
        <v>-5</v>
      </c>
      <c r="H71" s="1546">
        <v>-5.25</v>
      </c>
      <c r="I71" s="1546">
        <v>-7</v>
      </c>
      <c r="J71" s="1547">
        <v>-7.25</v>
      </c>
      <c r="L71" s="1200"/>
    </row>
    <row r="72" spans="1:12" s="1057" customFormat="1" ht="15.75" thickBot="1">
      <c r="A72" s="1203"/>
      <c r="B72" s="1789"/>
      <c r="C72" s="1711" t="s">
        <v>712</v>
      </c>
      <c r="D72" s="1712"/>
      <c r="E72" s="1554">
        <v>-2.5</v>
      </c>
      <c r="F72" s="1548">
        <v>-2.5</v>
      </c>
      <c r="G72" s="1548">
        <v>-3.75</v>
      </c>
      <c r="H72" s="1548">
        <v>-4</v>
      </c>
      <c r="I72" s="1548">
        <v>-5.75</v>
      </c>
      <c r="J72" s="1508">
        <v>-6</v>
      </c>
      <c r="L72" s="1200"/>
    </row>
    <row r="73" spans="1:12" s="1057" customFormat="1" ht="15.75" thickBot="1">
      <c r="A73" s="1203"/>
      <c r="B73" s="1223" t="s">
        <v>675</v>
      </c>
      <c r="C73" s="1791" t="s">
        <v>589</v>
      </c>
      <c r="D73" s="2057"/>
      <c r="E73" s="1559">
        <v>-0.25</v>
      </c>
      <c r="F73" s="1558">
        <v>-0.375</v>
      </c>
      <c r="G73" s="1558">
        <v>-0.5</v>
      </c>
      <c r="H73" s="1558">
        <v>-0.625</v>
      </c>
      <c r="I73" s="1558">
        <v>-1</v>
      </c>
      <c r="J73" s="1560" t="s">
        <v>514</v>
      </c>
      <c r="L73" s="1200"/>
    </row>
    <row r="74" spans="1:12" s="1057" customFormat="1">
      <c r="A74" s="1203"/>
      <c r="B74" s="1788" t="s">
        <v>138</v>
      </c>
      <c r="C74" s="1720" t="s">
        <v>771</v>
      </c>
      <c r="D74" s="1721"/>
      <c r="E74" s="1553">
        <v>-0.25</v>
      </c>
      <c r="F74" s="1546">
        <v>-0.25</v>
      </c>
      <c r="G74" s="1546">
        <v>-0.25</v>
      </c>
      <c r="H74" s="1546">
        <v>-0.25</v>
      </c>
      <c r="I74" s="1546">
        <v>-0.25</v>
      </c>
      <c r="J74" s="1547">
        <v>-0.25</v>
      </c>
      <c r="L74" s="1200"/>
    </row>
    <row r="75" spans="1:12" s="1057" customFormat="1" ht="15.75" thickBot="1">
      <c r="A75" s="1203"/>
      <c r="B75" s="1789"/>
      <c r="C75" s="1737" t="s">
        <v>718</v>
      </c>
      <c r="D75" s="1738"/>
      <c r="E75" s="1554">
        <v>0</v>
      </c>
      <c r="F75" s="1548">
        <v>-0.125</v>
      </c>
      <c r="G75" s="1548">
        <v>-0.125</v>
      </c>
      <c r="H75" s="1548">
        <v>-0.25</v>
      </c>
      <c r="I75" s="1548">
        <v>-0.25</v>
      </c>
      <c r="J75" s="1508">
        <v>-0.375</v>
      </c>
      <c r="L75" s="1200"/>
    </row>
    <row r="76" spans="1:12" s="1057" customFormat="1" ht="15" customHeight="1">
      <c r="A76" s="1203"/>
      <c r="B76" s="1746" t="s">
        <v>631</v>
      </c>
      <c r="C76" s="1750" t="s">
        <v>99</v>
      </c>
      <c r="D76" s="1751"/>
      <c r="E76" s="1555">
        <v>0.5</v>
      </c>
      <c r="F76" s="1556">
        <v>0.5</v>
      </c>
      <c r="G76" s="1556">
        <v>0.5</v>
      </c>
      <c r="H76" s="1556">
        <v>0.5</v>
      </c>
      <c r="I76" s="1556">
        <v>0.5</v>
      </c>
      <c r="J76" s="1557">
        <v>0.5</v>
      </c>
      <c r="L76" s="1200"/>
    </row>
    <row r="77" spans="1:12" s="1057" customFormat="1">
      <c r="A77" s="1203"/>
      <c r="B77" s="1747"/>
      <c r="C77" s="1714" t="s">
        <v>100</v>
      </c>
      <c r="D77" s="1715"/>
      <c r="E77" s="1549">
        <v>0.25</v>
      </c>
      <c r="F77" s="1544">
        <v>0.25</v>
      </c>
      <c r="G77" s="1544">
        <v>0.25</v>
      </c>
      <c r="H77" s="1544">
        <v>0.25</v>
      </c>
      <c r="I77" s="1544">
        <v>0.25</v>
      </c>
      <c r="J77" s="1550">
        <v>0.25</v>
      </c>
      <c r="L77" s="1200"/>
    </row>
    <row r="78" spans="1:12" s="1057" customFormat="1">
      <c r="A78" s="1203"/>
      <c r="B78" s="1747"/>
      <c r="C78" s="1714" t="s">
        <v>7</v>
      </c>
      <c r="D78" s="1715"/>
      <c r="E78" s="1549">
        <v>0</v>
      </c>
      <c r="F78" s="1544">
        <v>0</v>
      </c>
      <c r="G78" s="1544">
        <v>0</v>
      </c>
      <c r="H78" s="1544">
        <v>0</v>
      </c>
      <c r="I78" s="1544">
        <v>0</v>
      </c>
      <c r="J78" s="1550">
        <v>0</v>
      </c>
      <c r="L78" s="1200"/>
    </row>
    <row r="79" spans="1:12" s="1057" customFormat="1">
      <c r="A79" s="1203"/>
      <c r="B79" s="1747"/>
      <c r="C79" s="1714" t="s">
        <v>9</v>
      </c>
      <c r="D79" s="1715"/>
      <c r="E79" s="1549" t="s">
        <v>514</v>
      </c>
      <c r="F79" s="1544" t="s">
        <v>514</v>
      </c>
      <c r="G79" s="1544" t="s">
        <v>514</v>
      </c>
      <c r="H79" s="1544" t="s">
        <v>514</v>
      </c>
      <c r="I79" s="1544" t="s">
        <v>514</v>
      </c>
      <c r="J79" s="1550" t="s">
        <v>514</v>
      </c>
      <c r="L79" s="1200"/>
    </row>
    <row r="80" spans="1:12" s="1057" customFormat="1">
      <c r="A80" s="1203"/>
      <c r="B80" s="1747"/>
      <c r="C80" s="1714" t="s">
        <v>11</v>
      </c>
      <c r="D80" s="1715"/>
      <c r="E80" s="1549">
        <v>-1</v>
      </c>
      <c r="F80" s="1544">
        <v>-1</v>
      </c>
      <c r="G80" s="1544">
        <v>-1</v>
      </c>
      <c r="H80" s="1544">
        <v>-1</v>
      </c>
      <c r="I80" s="1544">
        <v>-1</v>
      </c>
      <c r="J80" s="1550">
        <v>-1</v>
      </c>
      <c r="L80" s="1200"/>
    </row>
    <row r="81" spans="1:12" s="1057" customFormat="1" ht="15.75" thickBot="1">
      <c r="A81" s="1203"/>
      <c r="B81" s="1748"/>
      <c r="C81" s="1740" t="s">
        <v>101</v>
      </c>
      <c r="D81" s="1741"/>
      <c r="E81" s="1551">
        <v>-2</v>
      </c>
      <c r="F81" s="1545">
        <v>-2</v>
      </c>
      <c r="G81" s="1545">
        <v>-2</v>
      </c>
      <c r="H81" s="1545">
        <v>-2</v>
      </c>
      <c r="I81" s="1545">
        <v>-2</v>
      </c>
      <c r="J81" s="1552">
        <v>-2</v>
      </c>
      <c r="L81" s="1200"/>
    </row>
    <row r="82" spans="1:12" s="1057" customFormat="1">
      <c r="A82" s="1203"/>
      <c r="B82" s="1746" t="s">
        <v>770</v>
      </c>
      <c r="C82" s="1717" t="s">
        <v>99</v>
      </c>
      <c r="D82" s="1718"/>
      <c r="E82" s="1553">
        <v>-0.25</v>
      </c>
      <c r="F82" s="1546">
        <v>-0.25</v>
      </c>
      <c r="G82" s="1546">
        <v>-0.25</v>
      </c>
      <c r="H82" s="1546">
        <v>-0.25</v>
      </c>
      <c r="I82" s="1546">
        <v>-0.25</v>
      </c>
      <c r="J82" s="1547">
        <v>-0.25</v>
      </c>
      <c r="L82" s="1200"/>
    </row>
    <row r="83" spans="1:12" s="1057" customFormat="1">
      <c r="A83" s="1203"/>
      <c r="B83" s="1747"/>
      <c r="C83" s="1714" t="s">
        <v>100</v>
      </c>
      <c r="D83" s="1715"/>
      <c r="E83" s="1549">
        <v>-0.375</v>
      </c>
      <c r="F83" s="1544">
        <v>-0.375</v>
      </c>
      <c r="G83" s="1544">
        <v>-0.375</v>
      </c>
      <c r="H83" s="1544">
        <v>-0.375</v>
      </c>
      <c r="I83" s="1544">
        <v>-0.375</v>
      </c>
      <c r="J83" s="1550">
        <v>-0.375</v>
      </c>
      <c r="L83" s="1200"/>
    </row>
    <row r="84" spans="1:12" s="1057" customFormat="1" ht="15.75" thickBot="1">
      <c r="A84" s="1203"/>
      <c r="B84" s="1748"/>
      <c r="C84" s="1711" t="s">
        <v>7</v>
      </c>
      <c r="D84" s="1712"/>
      <c r="E84" s="1554">
        <v>-0.5</v>
      </c>
      <c r="F84" s="1548">
        <v>-0.5</v>
      </c>
      <c r="G84" s="1548">
        <v>-0.5</v>
      </c>
      <c r="H84" s="1548">
        <v>-0.5</v>
      </c>
      <c r="I84" s="1548">
        <v>-0.5</v>
      </c>
      <c r="J84" s="1508">
        <v>-0.5</v>
      </c>
      <c r="L84" s="1200"/>
    </row>
    <row r="85" spans="1:12" s="1057" customFormat="1" ht="15" customHeight="1">
      <c r="A85" s="1203"/>
      <c r="C85" s="1341" t="s">
        <v>669</v>
      </c>
      <c r="D85" s="1271"/>
      <c r="E85" s="1271"/>
      <c r="F85" s="1279"/>
      <c r="G85" s="1325"/>
      <c r="H85" s="1279"/>
      <c r="I85" s="1279"/>
      <c r="J85" s="1325"/>
      <c r="K85" s="1325"/>
      <c r="L85" s="1200"/>
    </row>
    <row r="86" spans="1:12" s="1057" customFormat="1">
      <c r="A86" s="1203"/>
      <c r="C86" s="1341" t="s">
        <v>668</v>
      </c>
      <c r="D86" s="1271"/>
      <c r="E86" s="1271"/>
      <c r="F86" s="1279"/>
      <c r="G86" s="1325"/>
      <c r="H86" s="1279"/>
      <c r="I86" s="1279"/>
      <c r="J86" s="1325"/>
      <c r="K86" s="1325"/>
      <c r="L86" s="1200"/>
    </row>
    <row r="87" spans="1:12" s="1057" customFormat="1">
      <c r="A87" s="1203"/>
      <c r="C87" s="1271"/>
      <c r="D87" s="1271"/>
      <c r="E87" s="1271"/>
      <c r="F87" s="1279"/>
      <c r="G87" s="1325"/>
      <c r="H87" s="1279"/>
      <c r="I87" s="1279"/>
      <c r="J87" s="1325"/>
      <c r="K87" s="1325"/>
      <c r="L87" s="1200"/>
    </row>
    <row r="88" spans="1:12" s="1057" customFormat="1">
      <c r="A88" s="1203"/>
      <c r="C88" s="1271"/>
      <c r="D88" s="1271"/>
      <c r="E88" s="1271"/>
      <c r="F88" s="1279"/>
      <c r="G88" s="1325"/>
      <c r="H88" s="1279"/>
      <c r="I88" s="1279"/>
      <c r="J88" s="1325"/>
      <c r="K88" s="1325"/>
      <c r="L88" s="1200"/>
    </row>
    <row r="89" spans="1:12" s="1057" customFormat="1" ht="15" customHeight="1">
      <c r="A89" s="1203"/>
      <c r="C89" s="1271"/>
      <c r="D89" s="1271"/>
      <c r="E89" s="1271"/>
      <c r="F89" s="1325"/>
      <c r="G89" s="1325"/>
      <c r="H89" s="1279"/>
      <c r="I89" s="1325"/>
      <c r="J89" s="1325"/>
      <c r="K89" s="1279"/>
      <c r="L89" s="1061"/>
    </row>
    <row r="90" spans="1:12" s="1057" customFormat="1">
      <c r="A90" s="1203"/>
      <c r="B90" s="1326"/>
      <c r="C90" s="1271"/>
      <c r="D90" s="1271"/>
      <c r="E90" s="1271"/>
      <c r="F90" s="1325"/>
      <c r="G90" s="1279"/>
      <c r="H90" s="1325"/>
      <c r="I90" s="1325"/>
      <c r="J90" s="1279"/>
      <c r="K90" s="1279"/>
      <c r="L90" s="1061"/>
    </row>
    <row r="91" spans="1:12" s="1057" customFormat="1">
      <c r="A91" s="1203"/>
      <c r="B91" s="1326"/>
      <c r="C91" s="1271"/>
      <c r="D91" s="1271"/>
      <c r="E91" s="1271"/>
      <c r="F91" s="1325"/>
      <c r="G91" s="1279"/>
      <c r="H91" s="1325"/>
      <c r="I91" s="1325"/>
      <c r="J91" s="1279"/>
      <c r="K91" s="1279"/>
      <c r="L91" s="1061"/>
    </row>
    <row r="92" spans="1:12" s="1057" customFormat="1">
      <c r="A92" s="1203"/>
      <c r="B92" s="1326"/>
      <c r="C92" s="1271"/>
      <c r="D92" s="1271"/>
      <c r="E92" s="1271"/>
      <c r="F92" s="1325"/>
      <c r="G92" s="1279"/>
      <c r="H92" s="1325"/>
      <c r="I92" s="1325"/>
      <c r="J92" s="1279"/>
      <c r="K92" s="1279"/>
      <c r="L92" s="1061"/>
    </row>
    <row r="93" spans="1:12" s="1057" customFormat="1">
      <c r="A93" s="1203"/>
      <c r="B93" s="1326"/>
      <c r="C93" s="1271"/>
      <c r="D93" s="1271"/>
      <c r="E93" s="1271"/>
      <c r="F93" s="1325"/>
      <c r="G93" s="1325"/>
      <c r="H93" s="1279"/>
      <c r="I93" s="1325"/>
      <c r="J93" s="1325"/>
      <c r="K93" s="1279"/>
      <c r="L93" s="1061"/>
    </row>
    <row r="94" spans="1:12" s="1057" customFormat="1">
      <c r="A94" s="1203"/>
      <c r="B94" s="1206" t="s">
        <v>630</v>
      </c>
      <c r="C94" s="1271"/>
      <c r="D94" s="1271"/>
      <c r="E94" s="1271"/>
      <c r="F94" s="1325"/>
      <c r="G94" s="1325"/>
      <c r="H94" s="1279"/>
      <c r="I94" s="1325"/>
      <c r="J94" s="1325"/>
      <c r="K94" s="1279"/>
      <c r="L94" s="1061"/>
    </row>
    <row r="95" spans="1:12" s="1057" customFormat="1">
      <c r="A95" s="1203"/>
      <c r="B95" s="1206"/>
      <c r="C95" s="1271"/>
      <c r="D95" s="1271"/>
      <c r="E95" s="1271"/>
      <c r="F95" s="1279"/>
      <c r="G95" s="1325"/>
      <c r="H95" s="1279"/>
      <c r="I95" s="1279"/>
      <c r="J95" s="1325"/>
      <c r="K95" s="1325"/>
      <c r="L95" s="1200"/>
    </row>
    <row r="96" spans="1:12" s="1057" customFormat="1">
      <c r="A96" s="1203"/>
      <c r="B96" s="1206"/>
      <c r="C96" s="1271"/>
      <c r="D96" s="1271"/>
      <c r="E96" s="1271"/>
      <c r="F96" s="1279"/>
      <c r="G96" s="1325"/>
      <c r="H96" s="1279"/>
      <c r="I96" s="1279"/>
      <c r="J96" s="1325"/>
      <c r="K96" s="1325"/>
      <c r="L96" s="1200"/>
    </row>
    <row r="97" spans="1:12" s="1057" customFormat="1">
      <c r="A97" s="1203"/>
      <c r="B97" s="1206"/>
      <c r="C97" s="1271"/>
      <c r="D97" s="1271"/>
      <c r="E97" s="1271"/>
      <c r="F97" s="1279"/>
      <c r="G97" s="1325"/>
      <c r="H97" s="1279"/>
      <c r="I97" s="1279"/>
      <c r="J97" s="1325"/>
      <c r="K97" s="1325"/>
      <c r="L97" s="1200"/>
    </row>
    <row r="98" spans="1:12" s="1057" customFormat="1">
      <c r="A98" s="1203"/>
      <c r="B98" s="1206" t="s">
        <v>68</v>
      </c>
      <c r="D98" s="1271"/>
      <c r="E98" s="1271"/>
      <c r="F98" s="1279"/>
      <c r="G98" s="1325"/>
      <c r="H98" s="1279"/>
      <c r="I98" s="1279"/>
      <c r="J98" s="1325"/>
      <c r="K98" s="1325"/>
      <c r="L98" s="1200"/>
    </row>
    <row r="99" spans="1:12" s="1057" customFormat="1">
      <c r="A99" s="1203"/>
      <c r="B99" s="1206"/>
      <c r="D99" s="1271"/>
      <c r="E99" s="1271"/>
      <c r="F99" s="1279"/>
      <c r="G99" s="1325"/>
      <c r="H99" s="1279"/>
      <c r="I99" s="1279"/>
      <c r="J99" s="1325"/>
      <c r="K99" s="1325"/>
      <c r="L99" s="1200"/>
    </row>
    <row r="100" spans="1:12" s="1057" customFormat="1">
      <c r="A100" s="1203"/>
      <c r="B100" s="1291" t="s">
        <v>138</v>
      </c>
      <c r="C100" s="1271"/>
      <c r="D100" s="1271"/>
      <c r="E100" s="1271"/>
      <c r="F100" s="1289"/>
      <c r="G100" s="1289"/>
      <c r="H100" s="1289"/>
      <c r="I100" s="1289"/>
      <c r="J100" s="1289"/>
      <c r="K100" s="1289"/>
      <c r="L100" s="1200"/>
    </row>
    <row r="101" spans="1:12" s="1057" customFormat="1">
      <c r="A101" s="1203"/>
      <c r="B101" s="1272"/>
      <c r="C101" s="1271"/>
      <c r="D101" s="1271"/>
      <c r="E101" s="1271"/>
      <c r="F101" s="1271"/>
      <c r="G101" s="1271"/>
      <c r="H101" s="1271"/>
      <c r="I101" s="1271"/>
      <c r="J101" s="1271"/>
      <c r="K101" s="1271"/>
      <c r="L101" s="1200"/>
    </row>
    <row r="102" spans="1:12" s="1057" customFormat="1">
      <c r="A102" s="1203"/>
      <c r="L102" s="1200"/>
    </row>
    <row r="103" spans="1:12" s="1057" customFormat="1">
      <c r="A103" s="1203"/>
      <c r="L103" s="1200"/>
    </row>
    <row r="104" spans="1:12" s="1057" customFormat="1">
      <c r="A104" s="1203"/>
      <c r="L104" s="1200"/>
    </row>
    <row r="105" spans="1:12" s="1057" customFormat="1">
      <c r="A105" s="1203"/>
      <c r="L105" s="1200"/>
    </row>
    <row r="106" spans="1:12" s="1057" customFormat="1">
      <c r="A106" s="1203"/>
      <c r="L106" s="1200"/>
    </row>
    <row r="107" spans="1:12" s="1057" customFormat="1">
      <c r="A107" s="1203"/>
      <c r="L107" s="1200"/>
    </row>
    <row r="108" spans="1:12" s="1057" customFormat="1">
      <c r="A108" s="1203"/>
      <c r="L108" s="1200"/>
    </row>
    <row r="109" spans="1:12" s="1057" customFormat="1">
      <c r="A109" s="1203"/>
      <c r="L109" s="1200"/>
    </row>
    <row r="110" spans="1:12" s="1057" customFormat="1" ht="15" customHeight="1">
      <c r="A110" s="1203"/>
      <c r="L110" s="1200"/>
    </row>
    <row r="111" spans="1:12" s="1057" customFormat="1" ht="15" customHeight="1">
      <c r="A111" s="1203"/>
      <c r="L111" s="1200"/>
    </row>
    <row r="112" spans="1:12" s="1057" customFormat="1" ht="15" customHeight="1">
      <c r="A112" s="1203"/>
      <c r="L112" s="1200"/>
    </row>
    <row r="113" spans="1:12" s="1057" customFormat="1" ht="15" customHeight="1">
      <c r="A113" s="1203"/>
      <c r="L113" s="1200"/>
    </row>
    <row r="114" spans="1:12" s="1057" customFormat="1" ht="15" customHeight="1">
      <c r="A114" s="1203"/>
      <c r="L114" s="1200"/>
    </row>
    <row r="115" spans="1:12" s="1057" customFormat="1" ht="15" customHeight="1">
      <c r="A115" s="1203"/>
      <c r="L115" s="1200"/>
    </row>
    <row r="116" spans="1:12" s="1057" customFormat="1">
      <c r="A116" s="1203"/>
      <c r="L116" s="1200"/>
    </row>
    <row r="117" spans="1:12" s="1057" customFormat="1">
      <c r="A117" s="1203"/>
      <c r="L117" s="1200"/>
    </row>
    <row r="118" spans="1:12" s="1057" customFormat="1">
      <c r="A118" s="1203"/>
      <c r="L118" s="1200"/>
    </row>
    <row r="119" spans="1:12" s="1057" customFormat="1">
      <c r="A119" s="1203"/>
      <c r="L119" s="1200"/>
    </row>
    <row r="120" spans="1:12" s="1057" customFormat="1">
      <c r="A120" s="1203"/>
      <c r="G120" s="1202"/>
      <c r="H120" s="1201"/>
      <c r="L120" s="1200"/>
    </row>
    <row r="121" spans="1:12" s="1057" customFormat="1">
      <c r="A121" s="1203"/>
      <c r="G121" s="1202"/>
      <c r="H121" s="1201"/>
      <c r="L121" s="1200"/>
    </row>
    <row r="122" spans="1:12" s="1057" customFormat="1">
      <c r="A122" s="1203"/>
      <c r="G122" s="1202"/>
      <c r="H122" s="1201"/>
      <c r="L122" s="1200"/>
    </row>
    <row r="123" spans="1:12" s="1057" customFormat="1">
      <c r="A123" s="1203"/>
      <c r="G123" s="1202"/>
      <c r="H123" s="1201"/>
      <c r="L123" s="1200"/>
    </row>
    <row r="124" spans="1:12" s="1057" customFormat="1">
      <c r="A124" s="1203"/>
      <c r="G124" s="1202"/>
      <c r="H124" s="1201"/>
      <c r="L124" s="1200"/>
    </row>
    <row r="125" spans="1:12" s="1057" customFormat="1">
      <c r="A125" s="1203"/>
      <c r="L125" s="1200"/>
    </row>
    <row r="126" spans="1:12" s="1057" customFormat="1">
      <c r="A126" s="1203"/>
      <c r="L126" s="1200"/>
    </row>
    <row r="127" spans="1:12" s="1057" customFormat="1">
      <c r="A127" s="1203"/>
      <c r="L127" s="1200"/>
    </row>
    <row r="128" spans="1:12" s="1057" customFormat="1">
      <c r="A128" s="1203"/>
      <c r="L128" s="1200"/>
    </row>
    <row r="129" spans="1:12" s="1057" customFormat="1">
      <c r="A129" s="1203"/>
      <c r="L129" s="1200"/>
    </row>
    <row r="130" spans="1:12" s="1057" customFormat="1">
      <c r="A130" s="1203"/>
      <c r="L130" s="1200"/>
    </row>
    <row r="131" spans="1:12" s="1057" customFormat="1">
      <c r="A131" s="1203"/>
      <c r="L131" s="1200"/>
    </row>
    <row r="132" spans="1:12" s="1057" customFormat="1" ht="15.75" thickBot="1">
      <c r="A132" s="1270"/>
      <c r="L132" s="1070"/>
    </row>
    <row r="133" spans="1:12" s="1057" customFormat="1" ht="15" customHeight="1">
      <c r="A133" s="1066"/>
      <c r="B133" s="1816" t="s">
        <v>192</v>
      </c>
      <c r="C133" s="1816"/>
      <c r="D133" s="1816"/>
      <c r="E133" s="1816"/>
      <c r="F133" s="1816"/>
      <c r="G133" s="1816"/>
      <c r="H133" s="1816"/>
      <c r="I133" s="1816"/>
      <c r="J133" s="1816"/>
      <c r="K133" s="1816"/>
      <c r="L133" s="1064"/>
    </row>
    <row r="134" spans="1:12" s="1057" customFormat="1">
      <c r="A134" s="1063"/>
      <c r="B134" s="1817"/>
      <c r="C134" s="1817"/>
      <c r="D134" s="1817"/>
      <c r="E134" s="1817"/>
      <c r="F134" s="1817"/>
      <c r="G134" s="1817"/>
      <c r="H134" s="1817"/>
      <c r="I134" s="1817"/>
      <c r="J134" s="1817"/>
      <c r="K134" s="1817"/>
      <c r="L134" s="1061"/>
    </row>
    <row r="135" spans="1:12" s="1057" customFormat="1">
      <c r="A135" s="1063"/>
      <c r="B135" s="1817"/>
      <c r="C135" s="1817"/>
      <c r="D135" s="1817"/>
      <c r="E135" s="1817"/>
      <c r="F135" s="1817"/>
      <c r="G135" s="1817"/>
      <c r="H135" s="1817"/>
      <c r="I135" s="1817"/>
      <c r="J135" s="1817"/>
      <c r="K135" s="1817"/>
      <c r="L135" s="1061"/>
    </row>
    <row r="136" spans="1:12" s="1057" customFormat="1" ht="15.75" thickBot="1">
      <c r="A136" s="1060"/>
      <c r="B136" s="1818"/>
      <c r="C136" s="1818"/>
      <c r="D136" s="1818"/>
      <c r="E136" s="1818"/>
      <c r="F136" s="1818"/>
      <c r="G136" s="1818"/>
      <c r="H136" s="1818"/>
      <c r="I136" s="1818"/>
      <c r="J136" s="1818"/>
      <c r="K136" s="1818"/>
      <c r="L136" s="1059"/>
    </row>
  </sheetData>
  <mergeCells count="53">
    <mergeCell ref="C73:D73"/>
    <mergeCell ref="C72:D72"/>
    <mergeCell ref="C71:D71"/>
    <mergeCell ref="C70:D70"/>
    <mergeCell ref="C69:D69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B68:B69"/>
    <mergeCell ref="B71:B72"/>
    <mergeCell ref="C12:D12"/>
    <mergeCell ref="B62:B63"/>
    <mergeCell ref="B60:D60"/>
    <mergeCell ref="C55:D55"/>
    <mergeCell ref="C56:D56"/>
    <mergeCell ref="C68:D68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B38A8814-C030-4709-9F5B-1ED47C1D8D3D}">
          <x14:formula1>
            <xm:f>margins!$BB$110:$BB$112</xm:f>
          </x14:formula1>
          <xm:sqref>O19</xm:sqref>
        </x14:dataValidation>
        <x14:dataValidation type="list" allowBlank="1" showInputMessage="1" showErrorMessage="1" xr:uid="{5B39FAC6-DF37-43DB-A0F2-40860AB18FCF}">
          <x14:formula1>
            <xm:f>margins!$C$119:$C$121</xm:f>
          </x14:formula1>
          <xm:sqref>O28</xm:sqref>
        </x14:dataValidation>
        <x14:dataValidation type="list" allowBlank="1" showInputMessage="1" showErrorMessage="1" xr:uid="{693E6A67-6455-40C9-9E74-96DEBC2B1A65}">
          <x14:formula1>
            <xm:f>margins!$BB$134:$BB$136</xm:f>
          </x14:formula1>
          <xm:sqref>O25</xm:sqref>
        </x14:dataValidation>
        <x14:dataValidation type="list" allowBlank="1" showInputMessage="1" showErrorMessage="1" xr:uid="{68B03940-5912-42DA-885B-CA3DB582A6D9}">
          <x14:formula1>
            <xm:f>margins!$BB$131:$BB$132</xm:f>
          </x14:formula1>
          <xm:sqref>O24</xm:sqref>
        </x14:dataValidation>
        <x14:dataValidation type="list" allowBlank="1" showInputMessage="1" showErrorMessage="1" xr:uid="{6392554E-ACF5-41E2-A985-32650E708A4E}">
          <x14:formula1>
            <xm:f>margins!$BB$128:$BB$130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margins!$BB$125:$BB$126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margins!$BB$121:$BB$123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margins!$BB$115:$BB$119</xm:f>
          </x14:formula1>
          <xm:sqref>O20</xm:sqref>
        </x14:dataValidation>
        <x14:dataValidation type="list" allowBlank="1" showInputMessage="1" showErrorMessage="1" xr:uid="{74A53E41-D044-4111-A883-426663A10A01}">
          <x14:formula1>
            <xm:f>margins!$BB$157:$BB$159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margins!$BB$138:$BB$144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margins!$BB$146:$BB$149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margins!$BB$151:$BB$155</xm:f>
          </x14:formula1>
          <xm:sqref>O17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2"/>
      <c r="B2" s="1643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342"/>
      <c r="P2" s="343"/>
    </row>
    <row r="3" spans="1:16" ht="9.9499999999999993" customHeight="1">
      <c r="A3" s="1645"/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6"/>
      <c r="D6" s="1646"/>
      <c r="E6" s="1646"/>
      <c r="F6" s="1646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7"/>
      <c r="D7" s="1647"/>
      <c r="E7" s="1647"/>
      <c r="F7" s="1647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8"/>
      <c r="D8" s="1648"/>
      <c r="E8" s="1648"/>
      <c r="F8" s="1648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9" t="s">
        <v>361</v>
      </c>
      <c r="G9" s="1649"/>
      <c r="H9" s="1650">
        <v>45978</v>
      </c>
      <c r="I9" s="1650"/>
      <c r="J9" s="1650"/>
      <c r="K9" s="1650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1"/>
      <c r="D10" s="1651"/>
      <c r="E10" s="1651"/>
      <c r="F10" s="1651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2" t="s">
        <v>533</v>
      </c>
      <c r="C12" s="1652"/>
      <c r="D12" s="1652"/>
      <c r="E12" s="1652"/>
      <c r="F12" s="1652"/>
      <c r="G12" s="1652"/>
      <c r="H12" s="1652"/>
      <c r="I12" s="1652"/>
      <c r="J12" s="1652"/>
      <c r="K12" s="1652"/>
      <c r="L12" s="1652"/>
      <c r="M12" s="1652"/>
      <c r="N12" s="1652"/>
      <c r="O12" s="1652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3" t="s">
        <v>173</v>
      </c>
      <c r="C14" s="1654"/>
      <c r="D14" s="1654"/>
      <c r="E14" s="1654"/>
      <c r="F14" s="1654"/>
      <c r="G14" s="1655"/>
      <c r="H14" s="368"/>
      <c r="I14" s="1653" t="s">
        <v>174</v>
      </c>
      <c r="J14" s="1654"/>
      <c r="K14" s="1654"/>
      <c r="L14" s="1654"/>
      <c r="M14" s="1654"/>
      <c r="N14" s="1654"/>
      <c r="O14" s="1655"/>
      <c r="P14" s="369"/>
    </row>
    <row r="15" spans="1:16" ht="9.9499999999999993" customHeight="1">
      <c r="A15" s="367"/>
      <c r="B15" s="1656"/>
      <c r="C15" s="1657"/>
      <c r="D15" s="1657"/>
      <c r="E15" s="1657"/>
      <c r="F15" s="1657"/>
      <c r="G15" s="1658"/>
      <c r="H15" s="368"/>
      <c r="I15" s="1656"/>
      <c r="J15" s="1657"/>
      <c r="K15" s="1657"/>
      <c r="L15" s="1657"/>
      <c r="M15" s="1657"/>
      <c r="N15" s="1657"/>
      <c r="O15" s="1658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9" t="s">
        <v>284</v>
      </c>
      <c r="K16" s="1660"/>
      <c r="L16" s="1660"/>
      <c r="M16" s="1661"/>
      <c r="N16" s="166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60"/>
      <c r="K17" s="1660"/>
      <c r="L17" s="1660"/>
      <c r="M17" s="1661"/>
      <c r="N17" s="166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60"/>
      <c r="K18" s="1660"/>
      <c r="L18" s="1660"/>
      <c r="M18" s="1661"/>
      <c r="N18" s="1662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682</v>
      </c>
      <c r="E19" s="379"/>
      <c r="F19" s="384"/>
      <c r="G19" s="385"/>
      <c r="H19" s="368"/>
      <c r="I19" s="376"/>
      <c r="J19" s="1660"/>
      <c r="K19" s="1660"/>
      <c r="L19" s="1660"/>
      <c r="M19" s="1661"/>
      <c r="N19" s="166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60"/>
      <c r="K20" s="1660"/>
      <c r="L20" s="1660"/>
      <c r="M20" s="1661"/>
      <c r="N20" s="166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60"/>
      <c r="K21" s="1660"/>
      <c r="L21" s="1660"/>
      <c r="M21" s="1661"/>
      <c r="N21" s="166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60"/>
      <c r="K22" s="1660"/>
      <c r="L22" s="1660"/>
      <c r="M22" s="1661"/>
      <c r="N22" s="166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3"/>
      <c r="K23" s="1663"/>
      <c r="L23" s="1663"/>
      <c r="M23" s="1664"/>
      <c r="N23" s="166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3" t="s">
        <v>181</v>
      </c>
      <c r="C25" s="1654"/>
      <c r="D25" s="1654"/>
      <c r="E25" s="1654"/>
      <c r="F25" s="1654"/>
      <c r="G25" s="1655"/>
      <c r="H25" s="391"/>
      <c r="I25" s="1653" t="s">
        <v>539</v>
      </c>
      <c r="J25" s="1654"/>
      <c r="K25" s="1654"/>
      <c r="L25" s="1654"/>
      <c r="M25" s="1654"/>
      <c r="N25" s="1654"/>
      <c r="O25" s="1891"/>
      <c r="P25" s="369"/>
    </row>
    <row r="26" spans="1:17" ht="9.9499999999999993" customHeight="1">
      <c r="A26" s="367"/>
      <c r="B26" s="1656"/>
      <c r="C26" s="1657"/>
      <c r="D26" s="1657"/>
      <c r="E26" s="1657"/>
      <c r="F26" s="1657"/>
      <c r="G26" s="1658"/>
      <c r="H26" s="391"/>
      <c r="I26" s="1656"/>
      <c r="J26" s="1657"/>
      <c r="K26" s="1657"/>
      <c r="L26" s="1657"/>
      <c r="M26" s="1657"/>
      <c r="N26" s="1657"/>
      <c r="O26" s="1892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6" t="s">
        <v>538</v>
      </c>
      <c r="D28" s="1667"/>
      <c r="E28" s="1667"/>
      <c r="F28" s="1667"/>
      <c r="G28" s="1939"/>
      <c r="H28" s="368"/>
      <c r="I28" s="1668"/>
      <c r="J28" s="1669"/>
      <c r="K28" s="1669"/>
      <c r="L28" s="1669"/>
      <c r="M28" s="1669"/>
      <c r="N28" s="1669"/>
      <c r="O28" s="1670"/>
      <c r="P28" s="369"/>
    </row>
    <row r="29" spans="1:17" ht="11.25" customHeight="1">
      <c r="A29" s="367"/>
      <c r="B29" s="402"/>
      <c r="C29" s="666" t="s">
        <v>535</v>
      </c>
      <c r="D29" s="396"/>
      <c r="E29" s="396"/>
      <c r="F29" s="124"/>
      <c r="G29" s="125" t="s">
        <v>182</v>
      </c>
      <c r="H29" s="368"/>
      <c r="I29" s="1668" t="s">
        <v>537</v>
      </c>
      <c r="J29" s="1671"/>
      <c r="K29" s="1671"/>
      <c r="L29" s="1671"/>
      <c r="M29" s="1671"/>
      <c r="N29" s="1671"/>
      <c r="O29" s="1893"/>
      <c r="P29" s="369"/>
      <c r="Q29" s="493"/>
    </row>
    <row r="30" spans="1:17" ht="9.9499999999999993" customHeight="1">
      <c r="A30" s="367"/>
      <c r="B30" s="402"/>
      <c r="C30" s="666" t="s">
        <v>536</v>
      </c>
      <c r="D30" s="396"/>
      <c r="E30" s="396"/>
      <c r="F30" s="124"/>
      <c r="G30" s="125" t="s">
        <v>183</v>
      </c>
      <c r="H30" s="368"/>
      <c r="I30" s="419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687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687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687"/>
      <c r="P35" s="369"/>
    </row>
    <row r="36" spans="1:16" ht="9.9499999999999993" customHeight="1">
      <c r="A36" s="367"/>
      <c r="B36" s="402"/>
      <c r="D36" s="674"/>
      <c r="E36" s="676"/>
      <c r="O36" s="688"/>
      <c r="P36" s="369"/>
    </row>
    <row r="37" spans="1:16" ht="9.9499999999999993" customHeight="1">
      <c r="A37" s="367"/>
      <c r="B37" s="402"/>
      <c r="D37" s="675"/>
      <c r="O37" s="688"/>
      <c r="P37" s="369"/>
    </row>
    <row r="38" spans="1:16" ht="9.9499999999999993" customHeight="1">
      <c r="A38" s="367"/>
      <c r="B38" s="402"/>
      <c r="C38" s="378"/>
      <c r="D38" s="442"/>
      <c r="E38" s="1672" t="s">
        <v>184</v>
      </c>
      <c r="F38" s="1673"/>
      <c r="G38" s="1673"/>
      <c r="H38" s="1673"/>
      <c r="I38" s="1673"/>
      <c r="J38" s="1673"/>
      <c r="K38" s="1673"/>
      <c r="L38" s="1673"/>
      <c r="O38" s="688"/>
      <c r="P38" s="369"/>
    </row>
    <row r="39" spans="1:16" ht="9.9499999999999993" customHeight="1">
      <c r="A39" s="367"/>
      <c r="B39" s="402"/>
      <c r="C39" s="439"/>
      <c r="D39" s="125"/>
      <c r="E39" s="1672"/>
      <c r="F39" s="1673"/>
      <c r="G39" s="1673"/>
      <c r="H39" s="1673"/>
      <c r="I39" s="1673"/>
      <c r="J39" s="1673"/>
      <c r="K39" s="1673"/>
      <c r="L39" s="1673"/>
      <c r="O39" s="688"/>
      <c r="P39" s="369"/>
    </row>
    <row r="40" spans="1:16" ht="9.9499999999999993" customHeight="1">
      <c r="A40" s="367"/>
      <c r="B40" s="402"/>
      <c r="C40" s="428"/>
      <c r="D40" s="125"/>
      <c r="E40" s="683"/>
      <c r="F40" s="1675" t="s">
        <v>538</v>
      </c>
      <c r="G40" s="1675"/>
      <c r="H40" s="1675"/>
      <c r="I40" s="1675"/>
      <c r="J40" s="1675"/>
      <c r="K40" s="1675"/>
      <c r="L40" s="686"/>
      <c r="O40" s="688"/>
      <c r="P40" s="369"/>
    </row>
    <row r="41" spans="1:16" ht="9.9499999999999993" customHeight="1">
      <c r="A41" s="367"/>
      <c r="B41" s="402"/>
      <c r="C41" s="428"/>
      <c r="D41" s="125"/>
      <c r="E41" s="679"/>
      <c r="G41" s="693" t="s">
        <v>185</v>
      </c>
      <c r="H41" s="685"/>
      <c r="I41" s="676"/>
      <c r="J41" s="685">
        <v>-0.25</v>
      </c>
      <c r="L41" s="393"/>
      <c r="O41" s="689"/>
      <c r="P41" s="369"/>
    </row>
    <row r="42" spans="1:16" ht="10.5" customHeight="1">
      <c r="A42" s="367"/>
      <c r="B42" s="402"/>
      <c r="C42" s="428"/>
      <c r="D42" s="443"/>
      <c r="E42" s="679"/>
      <c r="G42" s="691" t="s">
        <v>199</v>
      </c>
      <c r="H42" s="692"/>
      <c r="J42" s="692">
        <v>-0.32500000000000001</v>
      </c>
      <c r="L42" s="393"/>
      <c r="O42" s="393"/>
      <c r="P42" s="369"/>
    </row>
    <row r="43" spans="1:16" ht="9.9499999999999993" customHeight="1">
      <c r="A43" s="367"/>
      <c r="B43" s="402"/>
      <c r="C43" s="428"/>
      <c r="D43" s="440"/>
      <c r="E43" s="679"/>
      <c r="G43" s="691" t="s">
        <v>200</v>
      </c>
      <c r="H43" s="692"/>
      <c r="J43" s="692">
        <v>-0.55000000000000004</v>
      </c>
      <c r="L43" s="393"/>
      <c r="O43" s="393"/>
      <c r="P43" s="369"/>
    </row>
    <row r="44" spans="1:16" ht="9.9499999999999993" customHeight="1">
      <c r="A44" s="367"/>
      <c r="B44" s="402"/>
      <c r="D44" s="665"/>
      <c r="E44" s="679"/>
      <c r="F44" s="664"/>
      <c r="G44" s="691" t="s">
        <v>201</v>
      </c>
      <c r="H44" s="664"/>
      <c r="J44" s="692">
        <v>-0.65</v>
      </c>
      <c r="L44" s="393"/>
      <c r="O44" s="393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O45" s="393"/>
      <c r="P45" s="369"/>
    </row>
    <row r="46" spans="1:16" ht="9.9499999999999993" customHeight="1">
      <c r="A46" s="367"/>
      <c r="B46" s="402"/>
      <c r="D46" s="440"/>
      <c r="E46" s="1689" t="s">
        <v>330</v>
      </c>
      <c r="F46" s="1690"/>
      <c r="G46" s="1690"/>
      <c r="H46" s="1690"/>
      <c r="I46" s="1690"/>
      <c r="J46" s="1690"/>
      <c r="K46" s="1690"/>
      <c r="L46" s="1691"/>
      <c r="O46" s="393"/>
      <c r="P46" s="369"/>
    </row>
    <row r="47" spans="1:16" ht="9.9499999999999993" customHeight="1">
      <c r="A47" s="367"/>
      <c r="B47" s="690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M47" s="684"/>
      <c r="N47" s="684"/>
      <c r="O47" s="686"/>
      <c r="P47" s="369"/>
    </row>
    <row r="48" spans="1:16" ht="9.9499999999999993" customHeight="1">
      <c r="A48" s="367"/>
      <c r="B48" s="1692" t="s">
        <v>186</v>
      </c>
      <c r="C48" s="1693"/>
      <c r="D48" s="1693"/>
      <c r="E48" s="1693"/>
      <c r="F48" s="1693"/>
      <c r="G48" s="1693"/>
      <c r="H48" s="1693"/>
      <c r="I48" s="1693"/>
      <c r="J48" s="1693"/>
      <c r="K48" s="1693"/>
      <c r="L48" s="1693"/>
      <c r="M48" s="1693"/>
      <c r="N48" s="1693"/>
      <c r="O48" s="1694"/>
      <c r="P48" s="369"/>
    </row>
    <row r="49" spans="1:16" ht="9.9499999999999993" customHeight="1">
      <c r="A49" s="367"/>
      <c r="B49" s="1672"/>
      <c r="C49" s="1673"/>
      <c r="D49" s="1673"/>
      <c r="E49" s="1673"/>
      <c r="F49" s="1673"/>
      <c r="G49" s="1673"/>
      <c r="H49" s="1673"/>
      <c r="I49" s="1673"/>
      <c r="J49" s="1673"/>
      <c r="K49" s="1673"/>
      <c r="L49" s="1673"/>
      <c r="M49" s="1673"/>
      <c r="N49" s="1673"/>
      <c r="O49" s="1695"/>
      <c r="P49" s="369"/>
    </row>
    <row r="50" spans="1:16">
      <c r="A50" s="367"/>
      <c r="B50" s="1894" t="s">
        <v>398</v>
      </c>
      <c r="C50" s="1895"/>
      <c r="D50" s="1895"/>
      <c r="E50" s="1895"/>
      <c r="F50" s="1895"/>
      <c r="G50" s="1895"/>
      <c r="H50" s="1895"/>
      <c r="I50" s="1895"/>
      <c r="J50" s="1895"/>
      <c r="K50" s="1895"/>
      <c r="L50" s="1895"/>
      <c r="M50" s="1895"/>
      <c r="N50" s="1895"/>
      <c r="O50" s="1896"/>
      <c r="P50" s="369"/>
    </row>
    <row r="51" spans="1:16">
      <c r="A51" s="367"/>
      <c r="B51" s="1894"/>
      <c r="C51" s="1895"/>
      <c r="D51" s="1895"/>
      <c r="E51" s="1895"/>
      <c r="F51" s="1895"/>
      <c r="G51" s="1895"/>
      <c r="H51" s="1895"/>
      <c r="I51" s="1895"/>
      <c r="J51" s="1895"/>
      <c r="K51" s="1895"/>
      <c r="L51" s="1895"/>
      <c r="M51" s="1895"/>
      <c r="N51" s="1895"/>
      <c r="O51" s="1896"/>
      <c r="P51" s="369"/>
    </row>
    <row r="52" spans="1:16" ht="9.9499999999999993" customHeight="1">
      <c r="A52" s="367"/>
      <c r="B52" s="1894"/>
      <c r="C52" s="1895"/>
      <c r="D52" s="1895"/>
      <c r="E52" s="1895"/>
      <c r="F52" s="1895"/>
      <c r="G52" s="1895"/>
      <c r="H52" s="1895"/>
      <c r="I52" s="1895"/>
      <c r="J52" s="1895"/>
      <c r="K52" s="1895"/>
      <c r="L52" s="1895"/>
      <c r="M52" s="1895"/>
      <c r="N52" s="1895"/>
      <c r="O52" s="1896"/>
      <c r="P52" s="369"/>
    </row>
    <row r="53" spans="1:16" ht="9.9499999999999993" customHeight="1">
      <c r="A53" s="394"/>
      <c r="B53" s="1894"/>
      <c r="C53" s="1895"/>
      <c r="D53" s="1895"/>
      <c r="E53" s="1895"/>
      <c r="F53" s="1895"/>
      <c r="G53" s="1895"/>
      <c r="H53" s="1895"/>
      <c r="I53" s="1895"/>
      <c r="J53" s="1895"/>
      <c r="K53" s="1895"/>
      <c r="L53" s="1895"/>
      <c r="M53" s="1895"/>
      <c r="N53" s="1895"/>
      <c r="O53" s="1896"/>
      <c r="P53" s="395"/>
    </row>
    <row r="54" spans="1:16" ht="9.9499999999999993" customHeight="1">
      <c r="A54" s="394"/>
      <c r="B54" s="1894"/>
      <c r="C54" s="1895"/>
      <c r="D54" s="1895"/>
      <c r="E54" s="1895"/>
      <c r="F54" s="1895"/>
      <c r="G54" s="1895"/>
      <c r="H54" s="1895"/>
      <c r="I54" s="1895"/>
      <c r="J54" s="1895"/>
      <c r="K54" s="1895"/>
      <c r="L54" s="1895"/>
      <c r="M54" s="1895"/>
      <c r="N54" s="1895"/>
      <c r="O54" s="1896"/>
      <c r="P54" s="395"/>
    </row>
    <row r="55" spans="1:16" ht="9.9499999999999993" customHeight="1">
      <c r="A55" s="394"/>
      <c r="B55" s="1894"/>
      <c r="C55" s="1895"/>
      <c r="D55" s="1895"/>
      <c r="E55" s="1895"/>
      <c r="F55" s="1895"/>
      <c r="G55" s="1895"/>
      <c r="H55" s="1895"/>
      <c r="I55" s="1895"/>
      <c r="J55" s="1895"/>
      <c r="K55" s="1895"/>
      <c r="L55" s="1895"/>
      <c r="M55" s="1895"/>
      <c r="N55" s="1895"/>
      <c r="O55" s="1896"/>
      <c r="P55" s="395"/>
    </row>
    <row r="56" spans="1:16" ht="9.9499999999999993" customHeight="1">
      <c r="A56" s="394"/>
      <c r="B56" s="1897"/>
      <c r="C56" s="1898"/>
      <c r="D56" s="1898"/>
      <c r="E56" s="1898"/>
      <c r="F56" s="1898"/>
      <c r="G56" s="1898"/>
      <c r="H56" s="1898"/>
      <c r="I56" s="1898"/>
      <c r="J56" s="1898"/>
      <c r="K56" s="1898"/>
      <c r="L56" s="1898"/>
      <c r="M56" s="1898"/>
      <c r="N56" s="1898"/>
      <c r="O56" s="1899"/>
      <c r="P56" s="395"/>
    </row>
    <row r="57" spans="1:16" ht="9.9499999999999993" customHeight="1">
      <c r="A57" s="394"/>
      <c r="B57" s="1692"/>
      <c r="C57" s="1696"/>
      <c r="D57" s="1696"/>
      <c r="E57" s="1696"/>
      <c r="F57" s="1696"/>
      <c r="G57" s="1696"/>
      <c r="H57" s="1696"/>
      <c r="I57" s="1696"/>
      <c r="J57" s="1696"/>
      <c r="K57" s="1696"/>
      <c r="L57" s="1696"/>
      <c r="M57" s="1696"/>
      <c r="N57" s="1696"/>
      <c r="O57" s="1697"/>
      <c r="P57" s="395"/>
    </row>
    <row r="58" spans="1:16" ht="9.9499999999999993" customHeight="1">
      <c r="A58" s="394"/>
      <c r="B58" s="1698"/>
      <c r="C58" s="1699"/>
      <c r="D58" s="1699"/>
      <c r="E58" s="1699"/>
      <c r="F58" s="1699"/>
      <c r="G58" s="1699"/>
      <c r="H58" s="1699"/>
      <c r="I58" s="1699"/>
      <c r="J58" s="1699"/>
      <c r="K58" s="1699"/>
      <c r="L58" s="1699"/>
      <c r="M58" s="1699"/>
      <c r="N58" s="1699"/>
      <c r="O58" s="1700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0"/>
      <c r="D61" s="1820"/>
      <c r="E61" s="1820"/>
      <c r="F61" s="1820"/>
      <c r="G61" s="1820"/>
      <c r="H61" s="1820"/>
      <c r="I61" s="1820"/>
      <c r="J61" s="1820"/>
      <c r="K61" s="1820"/>
      <c r="L61" s="1820"/>
      <c r="M61" s="1820"/>
      <c r="N61" s="1820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2" t="s">
        <v>189</v>
      </c>
      <c r="C72" s="1703"/>
      <c r="D72" s="1703"/>
      <c r="E72" s="1703"/>
      <c r="F72" s="1703"/>
      <c r="G72" s="1703"/>
      <c r="H72" s="1703"/>
      <c r="I72" s="1703"/>
      <c r="J72" s="1703"/>
      <c r="K72" s="1703"/>
      <c r="L72" s="1703"/>
      <c r="M72" s="1703"/>
      <c r="N72" s="1703"/>
      <c r="O72" s="1704"/>
    </row>
    <row r="73" spans="1:16">
      <c r="B73" s="1705"/>
      <c r="C73" s="1706"/>
      <c r="D73" s="1706"/>
      <c r="E73" s="1706"/>
      <c r="F73" s="1706"/>
      <c r="G73" s="1706"/>
      <c r="H73" s="1706"/>
      <c r="I73" s="1706"/>
      <c r="J73" s="1706"/>
      <c r="K73" s="1706"/>
      <c r="L73" s="1706"/>
      <c r="M73" s="1706"/>
      <c r="N73" s="1706"/>
      <c r="O73" s="1707"/>
    </row>
    <row r="74" spans="1:16">
      <c r="B74" s="1677" t="s">
        <v>190</v>
      </c>
      <c r="C74" s="1678"/>
      <c r="D74" s="1678"/>
      <c r="E74" s="1678"/>
      <c r="F74" s="1678"/>
      <c r="G74" s="1678"/>
      <c r="H74" s="1678"/>
      <c r="I74" s="1678"/>
      <c r="J74" s="1678"/>
      <c r="K74" s="1678"/>
      <c r="L74" s="1678"/>
      <c r="M74" s="1678"/>
      <c r="N74" s="1678"/>
      <c r="O74" s="1679"/>
    </row>
    <row r="75" spans="1:16" ht="9.9499999999999993" customHeight="1">
      <c r="B75" s="1680" t="s">
        <v>191</v>
      </c>
      <c r="C75" s="1681"/>
      <c r="D75" s="1681"/>
      <c r="E75" s="1681"/>
      <c r="F75" s="1681"/>
      <c r="G75" s="1681"/>
      <c r="H75" s="1681"/>
      <c r="I75" s="1681"/>
      <c r="J75" s="1681"/>
      <c r="K75" s="1681"/>
      <c r="L75" s="1681"/>
      <c r="M75" s="1681"/>
      <c r="N75" s="1681"/>
      <c r="O75" s="1682"/>
    </row>
    <row r="76" spans="1:16" ht="13.5" customHeight="1">
      <c r="B76" s="1683" t="s">
        <v>192</v>
      </c>
      <c r="C76" s="1684"/>
      <c r="D76" s="1684"/>
      <c r="E76" s="1684"/>
      <c r="F76" s="1684"/>
      <c r="G76" s="1684"/>
      <c r="H76" s="1684"/>
      <c r="I76" s="1684"/>
      <c r="J76" s="1684"/>
      <c r="K76" s="1684"/>
      <c r="L76" s="1684"/>
      <c r="M76" s="1684"/>
      <c r="N76" s="1684"/>
      <c r="O76" s="1685"/>
    </row>
    <row r="77" spans="1:16">
      <c r="B77" s="1686"/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8"/>
    </row>
  </sheetData>
  <mergeCells count="27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683</v>
      </c>
      <c r="Q4" s="1"/>
      <c r="R4" s="1"/>
    </row>
    <row r="5" spans="3:23" ht="19.5">
      <c r="C5" s="9"/>
      <c r="D5" s="9"/>
      <c r="E5" s="9"/>
      <c r="I5" s="35"/>
      <c r="J5" s="35"/>
      <c r="K5" s="35"/>
      <c r="L5" s="35"/>
      <c r="M5" s="35"/>
      <c r="N5" s="31" t="s">
        <v>1</v>
      </c>
      <c r="Q5" s="1"/>
      <c r="R5" s="1"/>
    </row>
    <row r="6" spans="3:23" ht="15.75">
      <c r="C6" s="1900" t="s">
        <v>534</v>
      </c>
      <c r="D6" s="1900"/>
      <c r="E6" s="1900"/>
      <c r="F6" s="1900"/>
      <c r="G6" s="1900"/>
      <c r="H6" s="873"/>
      <c r="O6" s="1"/>
      <c r="Q6" s="1"/>
      <c r="R6" s="1"/>
    </row>
    <row r="7" spans="3:23" ht="15.75" thickBot="1">
      <c r="C7" s="10" t="s">
        <v>223</v>
      </c>
      <c r="D7" s="950" t="s">
        <v>521</v>
      </c>
      <c r="E7" s="950" t="s">
        <v>522</v>
      </c>
      <c r="F7" s="871" t="s">
        <v>523</v>
      </c>
      <c r="G7" s="11" t="s">
        <v>32</v>
      </c>
      <c r="I7" s="580" t="s">
        <v>2</v>
      </c>
      <c r="J7" s="28"/>
      <c r="K7"/>
      <c r="Q7" s="1"/>
      <c r="R7" s="1"/>
    </row>
    <row r="8" spans="3:23" ht="15.75" thickBot="1">
      <c r="C8" s="122">
        <f>margins!BV4</f>
        <v>0.5</v>
      </c>
      <c r="D8" s="972">
        <v>94.699999999999989</v>
      </c>
      <c r="E8" s="972">
        <v>94.699999999999989</v>
      </c>
      <c r="F8" s="872">
        <v>94.699999999999989</v>
      </c>
      <c r="G8" s="123">
        <v>94.699999999999989</v>
      </c>
      <c r="H8" s="15"/>
      <c r="I8" s="12" t="s">
        <v>6</v>
      </c>
      <c r="J8" s="13">
        <v>100</v>
      </c>
      <c r="K8"/>
      <c r="L8" s="961" t="s">
        <v>210</v>
      </c>
      <c r="M8" s="962" t="s">
        <v>528</v>
      </c>
      <c r="N8" s="962" t="s">
        <v>529</v>
      </c>
      <c r="O8" s="962" t="s">
        <v>530</v>
      </c>
      <c r="U8" s="477" t="s">
        <v>532</v>
      </c>
      <c r="V8" s="478"/>
      <c r="W8" s="1577">
        <v>45978.399699074071</v>
      </c>
    </row>
    <row r="9" spans="3:23" ht="15.75" thickBot="1">
      <c r="C9" s="122">
        <f>margins!BV5</f>
        <v>0.625</v>
      </c>
      <c r="D9" s="972">
        <v>95.25</v>
      </c>
      <c r="E9" s="972">
        <v>95.25</v>
      </c>
      <c r="F9" s="872">
        <v>95.25</v>
      </c>
      <c r="G9" s="123">
        <v>95.25</v>
      </c>
      <c r="H9" s="18"/>
      <c r="I9" s="16" t="s">
        <v>8</v>
      </c>
      <c r="J9" s="576">
        <v>0</v>
      </c>
      <c r="K9"/>
      <c r="L9" s="283" t="s">
        <v>783</v>
      </c>
      <c r="M9" s="953">
        <v>2</v>
      </c>
      <c r="N9" s="953">
        <v>13</v>
      </c>
      <c r="O9" s="954">
        <v>15</v>
      </c>
    </row>
    <row r="10" spans="3:23" ht="15.75" thickBot="1">
      <c r="C10" s="122">
        <f>margins!BV6</f>
        <v>0.75</v>
      </c>
      <c r="D10" s="972">
        <v>95.787999999999997</v>
      </c>
      <c r="E10" s="972">
        <v>95.787999999999997</v>
      </c>
      <c r="F10" s="872">
        <v>95.787999999999997</v>
      </c>
      <c r="G10" s="123">
        <v>95.787999999999997</v>
      </c>
      <c r="H10" s="18"/>
      <c r="I10" s="16" t="s">
        <v>10</v>
      </c>
      <c r="J10" s="718">
        <v>-0.375</v>
      </c>
      <c r="K10"/>
      <c r="L10" s="298" t="s">
        <v>784</v>
      </c>
      <c r="M10" s="320">
        <v>2</v>
      </c>
      <c r="N10" s="320">
        <v>18</v>
      </c>
      <c r="O10" s="955">
        <v>20</v>
      </c>
      <c r="R10" s="1"/>
      <c r="U10" s="494" t="s">
        <v>207</v>
      </c>
      <c r="V10" s="495" t="s">
        <v>208</v>
      </c>
      <c r="W10" s="495" t="s">
        <v>209</v>
      </c>
    </row>
    <row r="11" spans="3:23" ht="15.75" thickBot="1">
      <c r="C11" s="122">
        <f>margins!BV7</f>
        <v>0.875</v>
      </c>
      <c r="D11" s="972">
        <v>96.312999999999988</v>
      </c>
      <c r="E11" s="972">
        <v>96.312999999999988</v>
      </c>
      <c r="F11" s="872">
        <v>96.312999999999988</v>
      </c>
      <c r="G11" s="123">
        <v>96.312999999999988</v>
      </c>
      <c r="H11" s="18"/>
      <c r="I11" s="721"/>
      <c r="J11" s="722"/>
      <c r="K11"/>
      <c r="L11" s="298" t="s">
        <v>785</v>
      </c>
      <c r="M11" s="320">
        <v>2</v>
      </c>
      <c r="N11" s="320">
        <v>23</v>
      </c>
      <c r="O11" s="955">
        <v>25</v>
      </c>
      <c r="R11" s="1"/>
    </row>
    <row r="12" spans="3:23">
      <c r="C12" s="122">
        <f>margins!BV8</f>
        <v>1</v>
      </c>
      <c r="D12" s="972">
        <v>96.824999999999989</v>
      </c>
      <c r="E12" s="972">
        <v>96.824999999999989</v>
      </c>
      <c r="F12" s="872">
        <v>96.824999999999989</v>
      </c>
      <c r="G12" s="123">
        <v>96.824999999999989</v>
      </c>
      <c r="H12" s="18"/>
      <c r="I12" s="719" t="s">
        <v>331</v>
      </c>
      <c r="J12" s="720"/>
      <c r="K12"/>
      <c r="L12" s="298" t="s">
        <v>786</v>
      </c>
      <c r="M12" s="320">
        <v>2</v>
      </c>
      <c r="N12" s="320">
        <v>28</v>
      </c>
      <c r="O12" s="955">
        <v>30</v>
      </c>
      <c r="R12" s="1"/>
      <c r="U12" s="658" t="s">
        <v>210</v>
      </c>
      <c r="V12" s="484" t="s">
        <v>32</v>
      </c>
      <c r="W12" s="960">
        <f>IF(V12="15 Yr Fix",2,IF(V12="20 Yr Fix",3,IF(V12="25 Yr Fix",4,5)))</f>
        <v>5</v>
      </c>
    </row>
    <row r="13" spans="3:23">
      <c r="C13" s="122">
        <f>margins!BV9</f>
        <v>1.125</v>
      </c>
      <c r="D13" s="972">
        <v>97.324999999999989</v>
      </c>
      <c r="E13" s="972">
        <v>97.324999999999989</v>
      </c>
      <c r="F13" s="872">
        <v>97.324999999999989</v>
      </c>
      <c r="G13" s="123">
        <v>97.324999999999989</v>
      </c>
      <c r="H13" s="18"/>
      <c r="I13" s="32" t="s">
        <v>84</v>
      </c>
      <c r="J13" s="34">
        <v>-0.25</v>
      </c>
      <c r="K13"/>
      <c r="L13" s="298" t="s">
        <v>783</v>
      </c>
      <c r="M13" s="320">
        <v>3</v>
      </c>
      <c r="N13" s="320">
        <v>12</v>
      </c>
      <c r="O13" s="955">
        <v>15</v>
      </c>
      <c r="R13" s="1"/>
      <c r="U13" s="660" t="s">
        <v>223</v>
      </c>
      <c r="V13" s="485">
        <v>2.5</v>
      </c>
      <c r="W13" s="489">
        <f>VLOOKUP(V13,$C$8:$G$54,W12,FALSE)</f>
        <v>102.59399999999999</v>
      </c>
    </row>
    <row r="14" spans="3:23">
      <c r="C14" s="122">
        <f>margins!BV10</f>
        <v>1.25</v>
      </c>
      <c r="D14" s="972">
        <v>97.812999999999988</v>
      </c>
      <c r="E14" s="972">
        <v>97.812999999999988</v>
      </c>
      <c r="F14" s="872">
        <v>97.812999999999988</v>
      </c>
      <c r="G14" s="123">
        <v>97.812999999999988</v>
      </c>
      <c r="H14" s="18"/>
      <c r="I14" s="32" t="s">
        <v>85</v>
      </c>
      <c r="J14" s="34">
        <v>-0.32500000000000001</v>
      </c>
      <c r="K14"/>
      <c r="L14" s="298" t="s">
        <v>784</v>
      </c>
      <c r="M14" s="320">
        <v>3</v>
      </c>
      <c r="N14" s="320">
        <v>17</v>
      </c>
      <c r="O14" s="955">
        <v>20</v>
      </c>
      <c r="R14" s="1"/>
      <c r="U14" s="660" t="s">
        <v>386</v>
      </c>
      <c r="V14" s="485" t="s">
        <v>18</v>
      </c>
      <c r="W14" s="489"/>
    </row>
    <row r="15" spans="3:23" ht="15" customHeight="1">
      <c r="C15" s="122">
        <f>margins!BV11</f>
        <v>1.375</v>
      </c>
      <c r="D15" s="972">
        <v>98.287999999999997</v>
      </c>
      <c r="E15" s="972">
        <v>98.287999999999997</v>
      </c>
      <c r="F15" s="872">
        <v>98.287999999999997</v>
      </c>
      <c r="G15" s="123">
        <v>98.287999999999997</v>
      </c>
      <c r="H15" s="18"/>
      <c r="I15" s="32" t="s">
        <v>86</v>
      </c>
      <c r="J15" s="34">
        <v>-0.55000000000000004</v>
      </c>
      <c r="K15"/>
      <c r="L15" s="298" t="s">
        <v>785</v>
      </c>
      <c r="M15" s="320">
        <v>3</v>
      </c>
      <c r="N15" s="320">
        <v>22</v>
      </c>
      <c r="O15" s="955">
        <v>25</v>
      </c>
      <c r="U15" s="660" t="s">
        <v>212</v>
      </c>
      <c r="V15" s="485" t="s">
        <v>37</v>
      </c>
      <c r="W15" s="959"/>
    </row>
    <row r="16" spans="3:23" ht="15" customHeight="1">
      <c r="C16" s="122">
        <f>margins!BV12</f>
        <v>1.5</v>
      </c>
      <c r="D16" s="972">
        <v>98.625</v>
      </c>
      <c r="E16" s="972">
        <v>98.625</v>
      </c>
      <c r="F16" s="872">
        <v>98.625</v>
      </c>
      <c r="G16" s="123">
        <v>98.625</v>
      </c>
      <c r="H16" s="18"/>
      <c r="I16" s="32" t="s">
        <v>87</v>
      </c>
      <c r="J16" s="34">
        <v>-0.65</v>
      </c>
      <c r="L16" s="298" t="s">
        <v>786</v>
      </c>
      <c r="M16" s="320">
        <v>3</v>
      </c>
      <c r="N16" s="320">
        <v>27</v>
      </c>
      <c r="O16" s="955">
        <v>30</v>
      </c>
      <c r="U16" s="660" t="s">
        <v>525</v>
      </c>
      <c r="V16" s="485" t="s">
        <v>525</v>
      </c>
      <c r="W16" s="959">
        <f>IF(V16="Choose a Selection",0,(INDEX($K$30:$S$35,MATCH(V15,$J$30:$J$35,0),MATCH($V$14,$K$29:$S$29,0),1)))</f>
        <v>2</v>
      </c>
    </row>
    <row r="17" spans="3:23" ht="15" customHeight="1">
      <c r="C17" s="122">
        <f>margins!BV13</f>
        <v>1.625</v>
      </c>
      <c r="D17" s="972">
        <v>99.074999999999989</v>
      </c>
      <c r="E17" s="972">
        <v>99.074999999999989</v>
      </c>
      <c r="F17" s="872">
        <v>99.074999999999989</v>
      </c>
      <c r="G17" s="123">
        <v>99.074999999999989</v>
      </c>
      <c r="H17" s="18"/>
      <c r="I17" s="569" t="s">
        <v>330</v>
      </c>
      <c r="J17" s="33"/>
      <c r="L17" s="956" t="s">
        <v>783</v>
      </c>
      <c r="M17" s="320">
        <v>5</v>
      </c>
      <c r="N17" s="320">
        <v>10</v>
      </c>
      <c r="O17" s="955">
        <v>15</v>
      </c>
      <c r="P17" s="870" t="s">
        <v>493</v>
      </c>
      <c r="Q17" s="2062" t="s">
        <v>552</v>
      </c>
      <c r="R17" s="2062"/>
      <c r="S17" s="2062"/>
      <c r="T17" s="2063"/>
      <c r="U17" s="660" t="s">
        <v>547</v>
      </c>
      <c r="V17" s="485" t="s">
        <v>203</v>
      </c>
      <c r="W17" s="959">
        <f>IF(V17="Choose a Selection",0,(INDEX($K$36:$S$36,MATCH(V17,$J$36,0),MATCH($V$14,$K$29:$S$29,0),1)))</f>
        <v>0</v>
      </c>
    </row>
    <row r="18" spans="3:23" ht="15" customHeight="1">
      <c r="C18" s="122">
        <f>margins!BV14</f>
        <v>1.75</v>
      </c>
      <c r="D18" s="972">
        <v>99.512999999999991</v>
      </c>
      <c r="E18" s="972">
        <v>99.512999999999991</v>
      </c>
      <c r="F18" s="872">
        <v>99.512999999999991</v>
      </c>
      <c r="G18" s="123">
        <v>99.512999999999991</v>
      </c>
      <c r="H18" s="18"/>
      <c r="L18" s="956" t="s">
        <v>784</v>
      </c>
      <c r="M18" s="320">
        <v>5</v>
      </c>
      <c r="N18" s="320">
        <v>15</v>
      </c>
      <c r="O18" s="955">
        <v>20</v>
      </c>
      <c r="U18" s="660" t="s">
        <v>548</v>
      </c>
      <c r="V18" s="485" t="s">
        <v>203</v>
      </c>
      <c r="W18" s="959">
        <f>IF(V18="Choose a Selection",0,(INDEX($K$37:$S$42,MATCH(V15,$J$37:$J$42,0),MATCH($V$14,$K$29:$S$29,0),1)))</f>
        <v>0</v>
      </c>
    </row>
    <row r="19" spans="3:23" ht="15" customHeight="1">
      <c r="C19" s="122">
        <f>margins!BV15</f>
        <v>1.875</v>
      </c>
      <c r="D19" s="972">
        <v>100.18799999999999</v>
      </c>
      <c r="E19" s="972">
        <v>100.18799999999999</v>
      </c>
      <c r="F19" s="872">
        <v>100.18799999999999</v>
      </c>
      <c r="G19" s="123">
        <v>100.18799999999999</v>
      </c>
      <c r="H19" s="18"/>
      <c r="L19" s="956" t="s">
        <v>785</v>
      </c>
      <c r="M19" s="320">
        <v>5</v>
      </c>
      <c r="N19" s="320">
        <v>20</v>
      </c>
      <c r="O19" s="955">
        <v>25</v>
      </c>
      <c r="P19" s="870" t="s">
        <v>493</v>
      </c>
      <c r="Q19" s="2062" t="s">
        <v>551</v>
      </c>
      <c r="R19" s="2062"/>
      <c r="S19" s="2062"/>
      <c r="T19" s="2063"/>
      <c r="U19" s="660" t="s">
        <v>546</v>
      </c>
      <c r="V19" s="485" t="s">
        <v>203</v>
      </c>
      <c r="W19" s="959">
        <f>IF(V19="Choose a Selection",0,(INDEX($K$43:$S$43,MATCH(V19,$J$43,0),MATCH($V$14,$K$29:$S$29,0),1)))</f>
        <v>0</v>
      </c>
    </row>
    <row r="20" spans="3:23" ht="15" customHeight="1">
      <c r="C20" s="122">
        <f>margins!BV16</f>
        <v>2</v>
      </c>
      <c r="D20" s="972">
        <v>100.72499999999999</v>
      </c>
      <c r="E20" s="972">
        <v>100.72499999999999</v>
      </c>
      <c r="F20" s="872">
        <v>100.72499999999999</v>
      </c>
      <c r="G20" s="123">
        <v>100.72499999999999</v>
      </c>
      <c r="H20" s="18"/>
      <c r="L20" s="957" t="s">
        <v>786</v>
      </c>
      <c r="M20" s="324">
        <v>5</v>
      </c>
      <c r="N20" s="324">
        <v>25</v>
      </c>
      <c r="O20" s="958">
        <v>30</v>
      </c>
      <c r="U20" s="660" t="s">
        <v>531</v>
      </c>
      <c r="V20" s="485">
        <v>24</v>
      </c>
      <c r="W20" s="959">
        <f t="shared" ref="W20:W25" si="0">IF(V20="Choose a Selection",0,(INDEX($K$30:$S$58,MATCH(V20,$J$30:$J$58,0),MATCH($V$14,$K$29:$S$29,0),1)))</f>
        <v>2</v>
      </c>
    </row>
    <row r="21" spans="3:23" ht="15" customHeight="1">
      <c r="C21" s="122">
        <f>margins!BV17</f>
        <v>2.125</v>
      </c>
      <c r="D21" s="972">
        <v>101.131</v>
      </c>
      <c r="E21" s="972">
        <v>101.131</v>
      </c>
      <c r="F21" s="872">
        <v>101.131</v>
      </c>
      <c r="G21" s="123">
        <v>101.131</v>
      </c>
      <c r="H21" s="18"/>
      <c r="I21" s="36" t="s">
        <v>334</v>
      </c>
      <c r="J21"/>
      <c r="K21"/>
      <c r="L21"/>
      <c r="M21"/>
      <c r="U21" s="660" t="s">
        <v>45</v>
      </c>
      <c r="V21" s="485" t="s">
        <v>203</v>
      </c>
      <c r="W21" s="959">
        <f t="shared" si="0"/>
        <v>0</v>
      </c>
    </row>
    <row r="22" spans="3:23" ht="15" customHeight="1">
      <c r="C22" s="122">
        <f>margins!BV18</f>
        <v>2.25</v>
      </c>
      <c r="D22" s="972">
        <v>101.663</v>
      </c>
      <c r="E22" s="972">
        <v>101.663</v>
      </c>
      <c r="F22" s="872">
        <v>101.663</v>
      </c>
      <c r="G22" s="123">
        <v>101.663</v>
      </c>
      <c r="H22" s="18"/>
      <c r="I22" s="579" t="s">
        <v>374</v>
      </c>
      <c r="J22" s="578"/>
      <c r="K22" s="578"/>
      <c r="L22" s="578"/>
      <c r="M22" s="577"/>
      <c r="U22" s="660" t="s">
        <v>310</v>
      </c>
      <c r="V22" s="485" t="s">
        <v>527</v>
      </c>
      <c r="W22" s="959">
        <f t="shared" si="0"/>
        <v>0</v>
      </c>
    </row>
    <row r="23" spans="3:23" ht="15" customHeight="1">
      <c r="C23" s="122">
        <f>margins!BV19</f>
        <v>2.375</v>
      </c>
      <c r="D23" s="972">
        <v>102.06899999999999</v>
      </c>
      <c r="E23" s="972">
        <v>102.06899999999999</v>
      </c>
      <c r="F23" s="872">
        <v>102.06899999999999</v>
      </c>
      <c r="G23" s="123">
        <v>102.06899999999999</v>
      </c>
      <c r="H23" s="18"/>
      <c r="I23" s="91" t="s">
        <v>565</v>
      </c>
      <c r="J23"/>
      <c r="K23"/>
      <c r="L23"/>
      <c r="M23" s="575"/>
      <c r="U23" s="660" t="s">
        <v>60</v>
      </c>
      <c r="V23" s="485" t="s">
        <v>203</v>
      </c>
      <c r="W23" s="959">
        <f t="shared" si="0"/>
        <v>0</v>
      </c>
    </row>
    <row r="24" spans="3:23" ht="15" customHeight="1">
      <c r="C24" s="122">
        <f>margins!BV20</f>
        <v>2.5</v>
      </c>
      <c r="D24" s="972">
        <v>102.59399999999999</v>
      </c>
      <c r="E24" s="972">
        <v>102.59399999999999</v>
      </c>
      <c r="F24" s="872">
        <v>102.59399999999999</v>
      </c>
      <c r="G24" s="123">
        <v>102.59399999999999</v>
      </c>
      <c r="H24" s="18"/>
      <c r="I24" s="91" t="s">
        <v>333</v>
      </c>
      <c r="J24"/>
      <c r="K24"/>
      <c r="L24"/>
      <c r="M24" s="575"/>
      <c r="U24" s="660" t="s">
        <v>62</v>
      </c>
      <c r="V24" s="485" t="s">
        <v>291</v>
      </c>
      <c r="W24" s="959">
        <f t="shared" si="0"/>
        <v>-0.125</v>
      </c>
    </row>
    <row r="25" spans="3:23" ht="15" customHeight="1">
      <c r="C25" s="122">
        <f>margins!BV21</f>
        <v>2.625</v>
      </c>
      <c r="D25" s="972">
        <v>102.988</v>
      </c>
      <c r="E25" s="972">
        <v>102.988</v>
      </c>
      <c r="F25" s="872">
        <v>102.988</v>
      </c>
      <c r="G25" s="123">
        <v>102.988</v>
      </c>
      <c r="H25" s="18"/>
      <c r="I25" s="91" t="s">
        <v>332</v>
      </c>
      <c r="J25"/>
      <c r="K25"/>
      <c r="L25"/>
      <c r="M25" s="575"/>
      <c r="U25" s="660" t="s">
        <v>138</v>
      </c>
      <c r="V25" s="485" t="s">
        <v>203</v>
      </c>
      <c r="W25" s="959">
        <f t="shared" si="0"/>
        <v>0</v>
      </c>
    </row>
    <row r="26" spans="3:23" ht="15" customHeight="1">
      <c r="C26" s="122">
        <f>margins!BV22</f>
        <v>2.75</v>
      </c>
      <c r="D26" s="972">
        <v>103.375</v>
      </c>
      <c r="E26" s="972">
        <v>103.375</v>
      </c>
      <c r="F26" s="872">
        <v>103.375</v>
      </c>
      <c r="G26" s="123">
        <v>103.375</v>
      </c>
      <c r="H26" s="18"/>
      <c r="I26" s="574" t="s">
        <v>524</v>
      </c>
      <c r="J26" s="964">
        <v>7</v>
      </c>
      <c r="K26" s="963"/>
      <c r="L26" s="573"/>
      <c r="M26" s="572"/>
      <c r="U26" s="660" t="s">
        <v>217</v>
      </c>
      <c r="V26" s="485">
        <v>15</v>
      </c>
      <c r="W26" s="959">
        <f>IF(V26=15,0,J10)</f>
        <v>0</v>
      </c>
    </row>
    <row r="27" spans="3:23" ht="15" customHeight="1">
      <c r="C27" s="122">
        <f>margins!BV23</f>
        <v>2.875</v>
      </c>
      <c r="D27" s="972">
        <v>103.756</v>
      </c>
      <c r="E27" s="972">
        <v>103.756</v>
      </c>
      <c r="F27" s="872">
        <v>103.756</v>
      </c>
      <c r="G27" s="123">
        <v>103.756</v>
      </c>
      <c r="H27" s="18"/>
      <c r="U27" s="966" t="s">
        <v>218</v>
      </c>
      <c r="V27" s="967"/>
      <c r="W27" s="974">
        <f>SUM(W16:W26)</f>
        <v>3.875</v>
      </c>
    </row>
    <row r="28" spans="3:23" ht="15" customHeight="1" thickBot="1">
      <c r="C28" s="122">
        <f>margins!BV24</f>
        <v>3</v>
      </c>
      <c r="D28" s="972">
        <v>104.131</v>
      </c>
      <c r="E28" s="972">
        <v>104.131</v>
      </c>
      <c r="F28" s="872">
        <v>104.131</v>
      </c>
      <c r="G28" s="123">
        <v>104.131</v>
      </c>
      <c r="H28" s="18"/>
      <c r="I28" s="1912" t="s">
        <v>244</v>
      </c>
      <c r="J28" s="2061"/>
      <c r="K28" s="1914" t="s">
        <v>329</v>
      </c>
      <c r="L28" s="1915"/>
      <c r="M28" s="1915"/>
      <c r="N28" s="1915"/>
      <c r="O28" s="1915"/>
      <c r="P28" s="1915"/>
      <c r="Q28" s="1915"/>
      <c r="R28" s="1915"/>
      <c r="S28" s="1916"/>
      <c r="U28" s="968" t="s">
        <v>543</v>
      </c>
      <c r="V28" s="969">
        <f>V13+J26</f>
        <v>9.5</v>
      </c>
      <c r="W28" s="970"/>
    </row>
    <row r="29" spans="3:23" ht="15" customHeight="1" thickBot="1">
      <c r="C29" s="122">
        <f>margins!BV25</f>
        <v>3.125</v>
      </c>
      <c r="D29" s="972">
        <v>104.5</v>
      </c>
      <c r="E29" s="972">
        <v>104.5</v>
      </c>
      <c r="F29" s="872">
        <v>104.5</v>
      </c>
      <c r="G29" s="123">
        <v>104.5</v>
      </c>
      <c r="H29" s="18"/>
      <c r="I29" s="101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734" t="s">
        <v>23</v>
      </c>
      <c r="U29" s="473"/>
      <c r="V29" s="474"/>
      <c r="W29" s="483"/>
    </row>
    <row r="30" spans="3:23" ht="15" customHeight="1" thickBot="1">
      <c r="C30" s="122">
        <f>margins!BV26</f>
        <v>3.25</v>
      </c>
      <c r="D30" s="972">
        <v>104.613</v>
      </c>
      <c r="E30" s="972">
        <v>104.613</v>
      </c>
      <c r="F30" s="872">
        <v>104.613</v>
      </c>
      <c r="G30" s="123">
        <v>104.613</v>
      </c>
      <c r="H30" s="18"/>
      <c r="I30" s="1901" t="s">
        <v>525</v>
      </c>
      <c r="J30" s="735" t="s">
        <v>37</v>
      </c>
      <c r="K30" s="736">
        <v>2.5</v>
      </c>
      <c r="L30" s="737">
        <v>2.5</v>
      </c>
      <c r="M30" s="738">
        <v>2</v>
      </c>
      <c r="N30" s="738">
        <v>2</v>
      </c>
      <c r="O30" s="738">
        <v>1.5</v>
      </c>
      <c r="P30" s="738">
        <v>0.5</v>
      </c>
      <c r="Q30" s="738">
        <v>0</v>
      </c>
      <c r="R30" s="738">
        <v>-3.5</v>
      </c>
      <c r="S30" s="739">
        <v>-4.5</v>
      </c>
      <c r="U30" s="475" t="s">
        <v>219</v>
      </c>
      <c r="V30" s="476"/>
      <c r="W30" s="663">
        <f>IF(ISNUMBER(MATCH("NA", W16:W26, 0)), "NA",MIN(J8,(W13+W27)))</f>
        <v>100</v>
      </c>
    </row>
    <row r="31" spans="3:23" ht="15" customHeight="1" thickBot="1">
      <c r="C31" s="122">
        <f>margins!BV27</f>
        <v>3.375</v>
      </c>
      <c r="D31" s="972">
        <v>104.94399999999999</v>
      </c>
      <c r="E31" s="972">
        <v>104.94399999999999</v>
      </c>
      <c r="F31" s="872">
        <v>104.94399999999999</v>
      </c>
      <c r="G31" s="123">
        <v>104.94399999999999</v>
      </c>
      <c r="H31" s="18"/>
      <c r="I31" s="1902"/>
      <c r="J31" s="556" t="s">
        <v>324</v>
      </c>
      <c r="K31" s="541">
        <v>1.5</v>
      </c>
      <c r="L31" s="540">
        <v>1.5</v>
      </c>
      <c r="M31" s="554">
        <v>1.5</v>
      </c>
      <c r="N31" s="554">
        <v>1.5</v>
      </c>
      <c r="O31" s="554">
        <v>1</v>
      </c>
      <c r="P31" s="554">
        <v>0</v>
      </c>
      <c r="Q31" s="554">
        <v>-1</v>
      </c>
      <c r="R31" s="554">
        <v>-5</v>
      </c>
      <c r="S31" s="558">
        <v>-6</v>
      </c>
      <c r="U31" s="470"/>
      <c r="V31" s="470"/>
      <c r="W31" s="470"/>
    </row>
    <row r="32" spans="3:23" ht="15" customHeight="1" thickBot="1">
      <c r="C32" s="122">
        <f>margins!BV28</f>
        <v>3.5</v>
      </c>
      <c r="D32" s="972">
        <v>105.244</v>
      </c>
      <c r="E32" s="972">
        <v>105.244</v>
      </c>
      <c r="F32" s="872">
        <v>105.244</v>
      </c>
      <c r="G32" s="123">
        <v>105.244</v>
      </c>
      <c r="H32" s="18"/>
      <c r="I32" s="1902"/>
      <c r="J32" s="556" t="s">
        <v>323</v>
      </c>
      <c r="K32" s="555">
        <v>1</v>
      </c>
      <c r="L32" s="554">
        <v>1</v>
      </c>
      <c r="M32" s="554">
        <v>1</v>
      </c>
      <c r="N32" s="554">
        <v>1</v>
      </c>
      <c r="O32" s="554">
        <v>0</v>
      </c>
      <c r="P32" s="554">
        <v>0</v>
      </c>
      <c r="Q32" s="554">
        <v>-2</v>
      </c>
      <c r="R32" s="554">
        <v>-6</v>
      </c>
      <c r="S32" s="558">
        <v>-8</v>
      </c>
      <c r="U32" s="846" t="s">
        <v>540</v>
      </c>
      <c r="V32" s="847"/>
      <c r="W32" s="848"/>
    </row>
    <row r="33" spans="2:20" ht="15" customHeight="1">
      <c r="C33" s="122">
        <f>margins!BV29</f>
        <v>3.625</v>
      </c>
      <c r="D33" s="972">
        <v>105.51299999999999</v>
      </c>
      <c r="E33" s="972">
        <v>105.51299999999999</v>
      </c>
      <c r="F33" s="872">
        <v>105.51299999999999</v>
      </c>
      <c r="G33" s="123">
        <v>105.51299999999999</v>
      </c>
      <c r="H33" s="18"/>
      <c r="I33" s="1902"/>
      <c r="J33" s="556" t="s">
        <v>322</v>
      </c>
      <c r="K33" s="555">
        <v>0</v>
      </c>
      <c r="L33" s="554">
        <v>0</v>
      </c>
      <c r="M33" s="554">
        <v>0</v>
      </c>
      <c r="N33" s="554">
        <v>0</v>
      </c>
      <c r="O33" s="554">
        <v>0</v>
      </c>
      <c r="P33" s="554">
        <v>-1</v>
      </c>
      <c r="Q33" s="554">
        <v>-3</v>
      </c>
      <c r="R33" s="554">
        <v>-7.5</v>
      </c>
      <c r="S33" s="558" t="s">
        <v>14</v>
      </c>
    </row>
    <row r="34" spans="2:20">
      <c r="C34" s="122">
        <f>margins!BV30</f>
        <v>3.75</v>
      </c>
      <c r="D34" s="972">
        <v>105.75</v>
      </c>
      <c r="E34" s="972">
        <v>105.75</v>
      </c>
      <c r="F34" s="872">
        <v>105.75</v>
      </c>
      <c r="G34" s="123">
        <v>105.75</v>
      </c>
      <c r="H34" s="18"/>
      <c r="I34" s="1902"/>
      <c r="J34" s="733" t="s">
        <v>321</v>
      </c>
      <c r="K34" s="723">
        <v>-0.5</v>
      </c>
      <c r="L34" s="724">
        <v>-0.5</v>
      </c>
      <c r="M34" s="724">
        <v>-0.5</v>
      </c>
      <c r="N34" s="724">
        <v>-1</v>
      </c>
      <c r="O34" s="724">
        <v>-1.5</v>
      </c>
      <c r="P34" s="724">
        <v>-2</v>
      </c>
      <c r="Q34" s="724">
        <v>-5.5</v>
      </c>
      <c r="R34" s="724">
        <v>-8.5</v>
      </c>
      <c r="S34" s="725" t="s">
        <v>14</v>
      </c>
    </row>
    <row r="35" spans="2:20">
      <c r="C35" s="122">
        <f>margins!BV31</f>
        <v>3.875</v>
      </c>
      <c r="D35" s="972">
        <v>105.95599999999999</v>
      </c>
      <c r="E35" s="972">
        <v>105.95599999999999</v>
      </c>
      <c r="F35" s="872">
        <v>105.95599999999999</v>
      </c>
      <c r="G35" s="123">
        <v>105.95599999999999</v>
      </c>
      <c r="H35" s="18"/>
      <c r="I35" s="1903"/>
      <c r="J35" s="552" t="s">
        <v>320</v>
      </c>
      <c r="K35" s="551">
        <v>-0.75</v>
      </c>
      <c r="L35" s="550">
        <v>-0.75</v>
      </c>
      <c r="M35" s="550">
        <v>-1</v>
      </c>
      <c r="N35" s="550">
        <v>-1.5</v>
      </c>
      <c r="O35" s="550">
        <v>-2</v>
      </c>
      <c r="P35" s="550">
        <v>-3</v>
      </c>
      <c r="Q35" s="550" t="s">
        <v>14</v>
      </c>
      <c r="R35" s="550" t="s">
        <v>14</v>
      </c>
      <c r="S35" s="564" t="s">
        <v>14</v>
      </c>
    </row>
    <row r="36" spans="2:20">
      <c r="C36" s="122">
        <f>margins!BV32</f>
        <v>4</v>
      </c>
      <c r="D36" s="972">
        <v>106.131</v>
      </c>
      <c r="E36" s="972">
        <v>106.131</v>
      </c>
      <c r="F36" s="872">
        <v>106.131</v>
      </c>
      <c r="G36" s="123">
        <v>106.131</v>
      </c>
      <c r="H36" s="18"/>
      <c r="I36" s="973" t="s">
        <v>544</v>
      </c>
      <c r="J36" s="708" t="s">
        <v>547</v>
      </c>
      <c r="K36" s="978">
        <v>0</v>
      </c>
      <c r="L36" s="979">
        <v>0</v>
      </c>
      <c r="M36" s="856">
        <v>0</v>
      </c>
      <c r="N36" s="856">
        <v>0</v>
      </c>
      <c r="O36" s="856">
        <v>0</v>
      </c>
      <c r="P36" s="856">
        <v>0</v>
      </c>
      <c r="Q36" s="856">
        <v>0</v>
      </c>
      <c r="R36" s="856">
        <v>0</v>
      </c>
      <c r="S36" s="857">
        <v>0</v>
      </c>
    </row>
    <row r="37" spans="2:20">
      <c r="C37" s="122">
        <f>margins!BV33</f>
        <v>4.125</v>
      </c>
      <c r="D37" s="972">
        <v>106.27499999999999</v>
      </c>
      <c r="E37" s="972">
        <v>106.27499999999999</v>
      </c>
      <c r="F37" s="872">
        <v>106.27499999999999</v>
      </c>
      <c r="G37" s="123">
        <v>106.27499999999999</v>
      </c>
      <c r="I37" s="1901" t="s">
        <v>548</v>
      </c>
      <c r="J37" s="735" t="s">
        <v>37</v>
      </c>
      <c r="K37" s="736">
        <v>2</v>
      </c>
      <c r="L37" s="737">
        <v>2</v>
      </c>
      <c r="M37" s="738">
        <v>1.5</v>
      </c>
      <c r="N37" s="738">
        <v>1.5</v>
      </c>
      <c r="O37" s="738">
        <v>1</v>
      </c>
      <c r="P37" s="738">
        <v>0</v>
      </c>
      <c r="Q37" s="738">
        <v>-0.5</v>
      </c>
      <c r="R37" s="738" t="s">
        <v>14</v>
      </c>
      <c r="S37" s="739" t="s">
        <v>14</v>
      </c>
    </row>
    <row r="38" spans="2:20">
      <c r="C38" s="122">
        <f>margins!BV34</f>
        <v>4.25</v>
      </c>
      <c r="D38" s="972">
        <v>106.38799999999999</v>
      </c>
      <c r="E38" s="972">
        <v>106.38799999999999</v>
      </c>
      <c r="F38" s="872">
        <v>106.38799999999999</v>
      </c>
      <c r="G38" s="123">
        <v>106.38799999999999</v>
      </c>
      <c r="I38" s="1902"/>
      <c r="J38" s="556" t="s">
        <v>324</v>
      </c>
      <c r="K38" s="541">
        <v>1</v>
      </c>
      <c r="L38" s="540">
        <v>1</v>
      </c>
      <c r="M38" s="554">
        <v>1</v>
      </c>
      <c r="N38" s="554">
        <v>1</v>
      </c>
      <c r="O38" s="554">
        <v>0.5</v>
      </c>
      <c r="P38" s="554">
        <v>-0.5</v>
      </c>
      <c r="Q38" s="554">
        <v>-1.5</v>
      </c>
      <c r="R38" s="554" t="s">
        <v>14</v>
      </c>
      <c r="S38" s="558" t="s">
        <v>14</v>
      </c>
    </row>
    <row r="39" spans="2:20">
      <c r="C39" s="122">
        <f>margins!BV35</f>
        <v>4.375</v>
      </c>
      <c r="D39" s="972">
        <v>106.46899999999999</v>
      </c>
      <c r="E39" s="972">
        <v>106.46899999999999</v>
      </c>
      <c r="F39" s="872">
        <v>106.46899999999999</v>
      </c>
      <c r="G39" s="123">
        <v>106.46899999999999</v>
      </c>
      <c r="I39" s="1902"/>
      <c r="J39" s="556" t="s">
        <v>323</v>
      </c>
      <c r="K39" s="555">
        <v>0.5</v>
      </c>
      <c r="L39" s="554">
        <v>0.5</v>
      </c>
      <c r="M39" s="554">
        <v>0.5</v>
      </c>
      <c r="N39" s="554">
        <v>0.5</v>
      </c>
      <c r="O39" s="554">
        <v>-0.5</v>
      </c>
      <c r="P39" s="554">
        <v>-0.5</v>
      </c>
      <c r="Q39" s="554">
        <v>-2.5</v>
      </c>
      <c r="R39" s="554" t="s">
        <v>14</v>
      </c>
      <c r="S39" s="558" t="s">
        <v>14</v>
      </c>
    </row>
    <row r="40" spans="2:20">
      <c r="C40" s="122">
        <f>margins!BV36</f>
        <v>4.5</v>
      </c>
      <c r="D40" s="972">
        <v>106.51899999999999</v>
      </c>
      <c r="E40" s="972">
        <v>106.51899999999999</v>
      </c>
      <c r="F40" s="872">
        <v>106.51899999999999</v>
      </c>
      <c r="G40" s="123">
        <v>106.51899999999999</v>
      </c>
      <c r="I40" s="1902"/>
      <c r="J40" s="556" t="s">
        <v>322</v>
      </c>
      <c r="K40" s="555">
        <v>-0.5</v>
      </c>
      <c r="L40" s="554">
        <v>-0.5</v>
      </c>
      <c r="M40" s="554">
        <v>-0.5</v>
      </c>
      <c r="N40" s="554">
        <v>-0.5</v>
      </c>
      <c r="O40" s="554">
        <v>-0.5</v>
      </c>
      <c r="P40" s="554">
        <v>-1.5</v>
      </c>
      <c r="Q40" s="554" t="s">
        <v>14</v>
      </c>
      <c r="R40" s="554" t="s">
        <v>14</v>
      </c>
      <c r="S40" s="558" t="s">
        <v>14</v>
      </c>
    </row>
    <row r="41" spans="2:20" ht="15" customHeight="1">
      <c r="C41" s="122">
        <f>margins!BV37</f>
        <v>4.625</v>
      </c>
      <c r="D41" s="972">
        <v>106.538</v>
      </c>
      <c r="E41" s="972">
        <v>106.538</v>
      </c>
      <c r="F41" s="872">
        <v>106.538</v>
      </c>
      <c r="G41" s="123">
        <v>106.538</v>
      </c>
      <c r="I41" s="1902"/>
      <c r="J41" s="733" t="s">
        <v>321</v>
      </c>
      <c r="K41" s="723">
        <v>-1</v>
      </c>
      <c r="L41" s="724">
        <v>-1</v>
      </c>
      <c r="M41" s="724">
        <v>-1</v>
      </c>
      <c r="N41" s="724">
        <v>-1.5</v>
      </c>
      <c r="O41" s="724">
        <v>-2</v>
      </c>
      <c r="P41" s="724">
        <v>-2.5</v>
      </c>
      <c r="Q41" s="724" t="s">
        <v>14</v>
      </c>
      <c r="R41" s="724" t="s">
        <v>14</v>
      </c>
      <c r="S41" s="725" t="s">
        <v>14</v>
      </c>
    </row>
    <row r="42" spans="2:20">
      <c r="C42" s="122">
        <f>margins!BV38</f>
        <v>4.75</v>
      </c>
      <c r="D42" s="972">
        <v>106.556</v>
      </c>
      <c r="E42" s="972">
        <v>106.556</v>
      </c>
      <c r="F42" s="872">
        <v>106.556</v>
      </c>
      <c r="G42" s="123">
        <v>106.556</v>
      </c>
      <c r="I42" s="1903"/>
      <c r="J42" s="552" t="s">
        <v>320</v>
      </c>
      <c r="K42" s="551" t="s">
        <v>14</v>
      </c>
      <c r="L42" s="550" t="s">
        <v>14</v>
      </c>
      <c r="M42" s="550" t="s">
        <v>14</v>
      </c>
      <c r="N42" s="550" t="s">
        <v>14</v>
      </c>
      <c r="O42" s="550" t="s">
        <v>14</v>
      </c>
      <c r="P42" s="550" t="s">
        <v>14</v>
      </c>
      <c r="Q42" s="550" t="s">
        <v>14</v>
      </c>
      <c r="R42" s="550" t="s">
        <v>14</v>
      </c>
      <c r="S42" s="564" t="s">
        <v>14</v>
      </c>
    </row>
    <row r="43" spans="2:20">
      <c r="C43" s="122">
        <f>margins!BV39</f>
        <v>4.875</v>
      </c>
      <c r="D43" s="972">
        <v>106.57499999999999</v>
      </c>
      <c r="E43" s="972">
        <v>106.57499999999999</v>
      </c>
      <c r="F43" s="872">
        <v>106.57499999999999</v>
      </c>
      <c r="G43" s="123">
        <v>106.57499999999999</v>
      </c>
      <c r="I43" s="973" t="s">
        <v>545</v>
      </c>
      <c r="J43" s="708" t="s">
        <v>546</v>
      </c>
      <c r="K43" s="736">
        <v>-1</v>
      </c>
      <c r="L43" s="737">
        <v>-1</v>
      </c>
      <c r="M43" s="738">
        <v>-1</v>
      </c>
      <c r="N43" s="738">
        <v>-1</v>
      </c>
      <c r="O43" s="738">
        <v>-1</v>
      </c>
      <c r="P43" s="738">
        <v>-1</v>
      </c>
      <c r="Q43" s="738">
        <v>-1</v>
      </c>
      <c r="R43" s="738" t="s">
        <v>14</v>
      </c>
      <c r="S43" s="739" t="s">
        <v>14</v>
      </c>
      <c r="T43" s="37"/>
    </row>
    <row r="44" spans="2:20" ht="15" customHeight="1">
      <c r="C44" s="122">
        <f>margins!BV40</f>
        <v>5</v>
      </c>
      <c r="D44" s="972">
        <v>106.59399999999999</v>
      </c>
      <c r="E44" s="972">
        <v>106.59399999999999</v>
      </c>
      <c r="F44" s="872">
        <v>106.59399999999999</v>
      </c>
      <c r="G44" s="123">
        <v>106.59399999999999</v>
      </c>
      <c r="I44" s="1909" t="s">
        <v>531</v>
      </c>
      <c r="J44" s="951">
        <v>24</v>
      </c>
      <c r="K44" s="543">
        <v>2</v>
      </c>
      <c r="L44" s="533">
        <v>2</v>
      </c>
      <c r="M44" s="533">
        <v>2</v>
      </c>
      <c r="N44" s="533">
        <v>2</v>
      </c>
      <c r="O44" s="533">
        <v>2</v>
      </c>
      <c r="P44" s="533">
        <v>2</v>
      </c>
      <c r="Q44" s="533">
        <v>2</v>
      </c>
      <c r="R44" s="533">
        <v>0</v>
      </c>
      <c r="S44" s="701">
        <v>0</v>
      </c>
      <c r="T44" s="37"/>
    </row>
    <row r="45" spans="2:20">
      <c r="B45" s="22"/>
      <c r="C45" s="122">
        <f>margins!BV41</f>
        <v>5.125</v>
      </c>
      <c r="D45" s="972">
        <v>106.613</v>
      </c>
      <c r="E45" s="972">
        <v>106.613</v>
      </c>
      <c r="F45" s="872">
        <v>106.613</v>
      </c>
      <c r="G45" s="123">
        <v>106.613</v>
      </c>
      <c r="I45" s="1910"/>
      <c r="J45" s="952">
        <v>36</v>
      </c>
      <c r="K45" s="541">
        <v>1.5</v>
      </c>
      <c r="L45" s="540">
        <v>1.5</v>
      </c>
      <c r="M45" s="540">
        <v>1.5</v>
      </c>
      <c r="N45" s="540">
        <v>1.5</v>
      </c>
      <c r="O45" s="540">
        <v>1.5</v>
      </c>
      <c r="P45" s="540">
        <v>1.5</v>
      </c>
      <c r="Q45" s="540">
        <v>1.5</v>
      </c>
      <c r="R45" s="540">
        <v>0</v>
      </c>
      <c r="S45" s="702">
        <v>0</v>
      </c>
      <c r="T45" s="37"/>
    </row>
    <row r="46" spans="2:20" ht="15" customHeight="1">
      <c r="C46" s="122">
        <f>margins!BV42</f>
        <v>5.25</v>
      </c>
      <c r="D46" s="972">
        <v>106.631</v>
      </c>
      <c r="E46" s="972">
        <v>106.631</v>
      </c>
      <c r="F46" s="872">
        <v>106.631</v>
      </c>
      <c r="G46" s="123">
        <v>106.631</v>
      </c>
      <c r="I46" s="1911"/>
      <c r="J46" s="952">
        <v>60</v>
      </c>
      <c r="K46" s="541">
        <v>0</v>
      </c>
      <c r="L46" s="540">
        <v>0</v>
      </c>
      <c r="M46" s="540">
        <v>0</v>
      </c>
      <c r="N46" s="540">
        <v>0</v>
      </c>
      <c r="O46" s="540">
        <v>0</v>
      </c>
      <c r="P46" s="540">
        <v>0</v>
      </c>
      <c r="Q46" s="540">
        <v>0</v>
      </c>
      <c r="R46" s="540">
        <v>0</v>
      </c>
      <c r="S46" s="702">
        <v>0</v>
      </c>
      <c r="T46" s="37"/>
    </row>
    <row r="47" spans="2:20">
      <c r="C47" s="122">
        <f>margins!BV43</f>
        <v>5.375</v>
      </c>
      <c r="D47" s="972">
        <v>106.64999999999999</v>
      </c>
      <c r="E47" s="972">
        <v>106.64999999999999</v>
      </c>
      <c r="F47" s="872">
        <v>106.64999999999999</v>
      </c>
      <c r="G47" s="123">
        <v>106.64999999999999</v>
      </c>
      <c r="I47" s="1904" t="s">
        <v>45</v>
      </c>
      <c r="J47" s="603" t="s">
        <v>407</v>
      </c>
      <c r="K47" s="526">
        <v>0</v>
      </c>
      <c r="L47" s="525">
        <v>0</v>
      </c>
      <c r="M47" s="525">
        <v>0</v>
      </c>
      <c r="N47" s="525">
        <v>0</v>
      </c>
      <c r="O47" s="525">
        <v>0</v>
      </c>
      <c r="P47" s="525">
        <v>0</v>
      </c>
      <c r="Q47" s="525">
        <v>0</v>
      </c>
      <c r="R47" s="525">
        <v>0</v>
      </c>
      <c r="S47" s="705">
        <v>0</v>
      </c>
    </row>
    <row r="48" spans="2:20">
      <c r="C48" s="122">
        <f>margins!BV44</f>
        <v>5.5</v>
      </c>
      <c r="D48" s="972">
        <v>106.669</v>
      </c>
      <c r="E48" s="972">
        <v>106.669</v>
      </c>
      <c r="F48" s="872">
        <v>106.669</v>
      </c>
      <c r="G48" s="123">
        <v>106.669</v>
      </c>
      <c r="I48" s="1905"/>
      <c r="J48" s="539" t="s">
        <v>408</v>
      </c>
      <c r="K48" s="514">
        <v>0</v>
      </c>
      <c r="L48" s="513">
        <v>0</v>
      </c>
      <c r="M48" s="513">
        <v>0</v>
      </c>
      <c r="N48" s="513">
        <v>-0.125</v>
      </c>
      <c r="O48" s="513">
        <v>-0.125</v>
      </c>
      <c r="P48" s="513">
        <v>-0.125</v>
      </c>
      <c r="Q48" s="513">
        <v>-0.125</v>
      </c>
      <c r="R48" s="513">
        <v>-0.125</v>
      </c>
      <c r="S48" s="512">
        <v>-0.125</v>
      </c>
    </row>
    <row r="49" spans="3:19">
      <c r="C49" s="122">
        <f>margins!BV45</f>
        <v>5.625</v>
      </c>
      <c r="D49" s="972">
        <v>106.68799999999999</v>
      </c>
      <c r="E49" s="972">
        <v>106.68799999999999</v>
      </c>
      <c r="F49" s="872">
        <v>106.68799999999999</v>
      </c>
      <c r="G49" s="123">
        <v>106.68799999999999</v>
      </c>
      <c r="I49" s="1906"/>
      <c r="J49" s="602" t="s">
        <v>409</v>
      </c>
      <c r="K49" s="510">
        <v>0</v>
      </c>
      <c r="L49" s="509">
        <v>0</v>
      </c>
      <c r="M49" s="509">
        <v>0</v>
      </c>
      <c r="N49" s="509">
        <v>-0.125</v>
      </c>
      <c r="O49" s="509">
        <v>-0.125</v>
      </c>
      <c r="P49" s="509">
        <v>-0.25</v>
      </c>
      <c r="Q49" s="509">
        <v>-0.25</v>
      </c>
      <c r="R49" s="509" t="s">
        <v>14</v>
      </c>
      <c r="S49" s="508" t="s">
        <v>14</v>
      </c>
    </row>
    <row r="50" spans="3:19">
      <c r="C50" s="122">
        <f>margins!BV46</f>
        <v>5.75</v>
      </c>
      <c r="D50" s="972">
        <v>106.70599999999999</v>
      </c>
      <c r="E50" s="972">
        <v>106.70599999999999</v>
      </c>
      <c r="F50" s="872">
        <v>106.70599999999999</v>
      </c>
      <c r="G50" s="123">
        <v>106.70599999999999</v>
      </c>
      <c r="I50" s="1909" t="s">
        <v>310</v>
      </c>
      <c r="J50" s="539" t="s">
        <v>411</v>
      </c>
      <c r="K50" s="519">
        <v>-0.125</v>
      </c>
      <c r="L50" s="518">
        <v>-0.125</v>
      </c>
      <c r="M50" s="518">
        <v>-0.125</v>
      </c>
      <c r="N50" s="518">
        <v>-0.125</v>
      </c>
      <c r="O50" s="518">
        <v>-0.125</v>
      </c>
      <c r="P50" s="518">
        <v>-0.125</v>
      </c>
      <c r="Q50" s="518">
        <v>-0.125</v>
      </c>
      <c r="R50" s="518">
        <v>-0.125</v>
      </c>
      <c r="S50" s="704">
        <v>-0.125</v>
      </c>
    </row>
    <row r="51" spans="3:19">
      <c r="C51" s="122">
        <f>margins!BV47</f>
        <v>5.875</v>
      </c>
      <c r="D51" s="972">
        <v>106.72499999999999</v>
      </c>
      <c r="E51" s="972">
        <v>106.72499999999999</v>
      </c>
      <c r="F51" s="872">
        <v>106.72499999999999</v>
      </c>
      <c r="G51" s="123">
        <v>106.72499999999999</v>
      </c>
      <c r="I51" s="1910"/>
      <c r="J51" s="539" t="s">
        <v>526</v>
      </c>
      <c r="K51" s="514">
        <v>0</v>
      </c>
      <c r="L51" s="513">
        <v>0</v>
      </c>
      <c r="M51" s="513">
        <v>0</v>
      </c>
      <c r="N51" s="513">
        <v>0</v>
      </c>
      <c r="O51" s="513">
        <v>0</v>
      </c>
      <c r="P51" s="513">
        <v>0</v>
      </c>
      <c r="Q51" s="513">
        <v>0</v>
      </c>
      <c r="R51" s="513">
        <v>0</v>
      </c>
      <c r="S51" s="512">
        <v>0</v>
      </c>
    </row>
    <row r="52" spans="3:19">
      <c r="C52" s="122">
        <f>margins!BV48</f>
        <v>6</v>
      </c>
      <c r="D52" s="972">
        <v>106.744</v>
      </c>
      <c r="E52" s="972">
        <v>106.744</v>
      </c>
      <c r="F52" s="872">
        <v>106.744</v>
      </c>
      <c r="G52" s="123">
        <v>106.744</v>
      </c>
      <c r="I52" s="1910"/>
      <c r="J52" s="538" t="s">
        <v>527</v>
      </c>
      <c r="K52" s="514">
        <v>0</v>
      </c>
      <c r="L52" s="513">
        <v>0</v>
      </c>
      <c r="M52" s="513">
        <v>0</v>
      </c>
      <c r="N52" s="513">
        <v>0</v>
      </c>
      <c r="O52" s="513">
        <v>0</v>
      </c>
      <c r="P52" s="513">
        <v>0</v>
      </c>
      <c r="Q52" s="513">
        <v>0</v>
      </c>
      <c r="R52" s="513">
        <v>0</v>
      </c>
      <c r="S52" s="512" t="s">
        <v>14</v>
      </c>
    </row>
    <row r="53" spans="3:19">
      <c r="C53" s="122">
        <f>margins!BV49</f>
        <v>6.125</v>
      </c>
      <c r="D53" s="972">
        <v>106.76299999999999</v>
      </c>
      <c r="E53" s="972">
        <v>106.76299999999999</v>
      </c>
      <c r="F53" s="872">
        <v>106.76299999999999</v>
      </c>
      <c r="G53" s="123">
        <v>106.76299999999999</v>
      </c>
      <c r="I53" s="1911"/>
      <c r="J53" s="538" t="s">
        <v>415</v>
      </c>
      <c r="K53" s="514">
        <v>0</v>
      </c>
      <c r="L53" s="513">
        <v>0</v>
      </c>
      <c r="M53" s="513">
        <v>0</v>
      </c>
      <c r="N53" s="513">
        <v>0</v>
      </c>
      <c r="O53" s="513">
        <v>0</v>
      </c>
      <c r="P53" s="513">
        <v>0</v>
      </c>
      <c r="Q53" s="513" t="s">
        <v>14</v>
      </c>
      <c r="R53" s="513" t="s">
        <v>14</v>
      </c>
      <c r="S53" s="512" t="s">
        <v>14</v>
      </c>
    </row>
    <row r="54" spans="3:19">
      <c r="C54" s="122">
        <f>margins!BV50</f>
        <v>6.25</v>
      </c>
      <c r="D54" s="972">
        <v>106.78099999999999</v>
      </c>
      <c r="E54" s="972">
        <v>106.78099999999999</v>
      </c>
      <c r="F54" s="872">
        <v>106.78099999999999</v>
      </c>
      <c r="G54" s="123">
        <v>106.78099999999999</v>
      </c>
      <c r="I54" s="1907" t="s">
        <v>60</v>
      </c>
      <c r="J54" s="603" t="s">
        <v>29</v>
      </c>
      <c r="K54" s="526">
        <v>-1</v>
      </c>
      <c r="L54" s="525">
        <v>-1</v>
      </c>
      <c r="M54" s="525">
        <v>-1</v>
      </c>
      <c r="N54" s="525">
        <v>-1</v>
      </c>
      <c r="O54" s="525">
        <v>-1</v>
      </c>
      <c r="P54" s="525">
        <v>-1</v>
      </c>
      <c r="Q54" s="525" t="s">
        <v>14</v>
      </c>
      <c r="R54" s="525" t="s">
        <v>14</v>
      </c>
      <c r="S54" s="705" t="s">
        <v>14</v>
      </c>
    </row>
    <row r="55" spans="3:19">
      <c r="I55" s="1908"/>
      <c r="J55" s="726" t="s">
        <v>61</v>
      </c>
      <c r="K55" s="510">
        <v>-2</v>
      </c>
      <c r="L55" s="509">
        <v>-2</v>
      </c>
      <c r="M55" s="509">
        <v>-2.5</v>
      </c>
      <c r="N55" s="509">
        <v>-3</v>
      </c>
      <c r="O55" s="509">
        <v>-3.5</v>
      </c>
      <c r="P55" s="509" t="s">
        <v>14</v>
      </c>
      <c r="Q55" s="509" t="s">
        <v>14</v>
      </c>
      <c r="R55" s="509" t="s">
        <v>14</v>
      </c>
      <c r="S55" s="508" t="s">
        <v>14</v>
      </c>
    </row>
    <row r="56" spans="3:19">
      <c r="I56" s="1909" t="s">
        <v>62</v>
      </c>
      <c r="J56" s="603" t="s">
        <v>291</v>
      </c>
      <c r="K56" s="526">
        <v>0</v>
      </c>
      <c r="L56" s="525">
        <v>0</v>
      </c>
      <c r="M56" s="525">
        <v>0</v>
      </c>
      <c r="N56" s="525">
        <v>-0.125</v>
      </c>
      <c r="O56" s="525">
        <v>-0.125</v>
      </c>
      <c r="P56" s="525">
        <v>-0.25</v>
      </c>
      <c r="Q56" s="525">
        <v>-0.25</v>
      </c>
      <c r="R56" s="525" t="s">
        <v>14</v>
      </c>
      <c r="S56" s="705" t="s">
        <v>14</v>
      </c>
    </row>
    <row r="57" spans="3:19">
      <c r="I57" s="1911"/>
      <c r="J57" s="726" t="s">
        <v>381</v>
      </c>
      <c r="K57" s="510">
        <v>-0.5</v>
      </c>
      <c r="L57" s="509">
        <v>-0.5</v>
      </c>
      <c r="M57" s="509">
        <v>-0.5</v>
      </c>
      <c r="N57" s="509">
        <v>-0.5</v>
      </c>
      <c r="O57" s="509">
        <v>-0.5</v>
      </c>
      <c r="P57" s="509">
        <v>-0.5</v>
      </c>
      <c r="Q57" s="509">
        <v>-0.5</v>
      </c>
      <c r="R57" s="509" t="s">
        <v>14</v>
      </c>
      <c r="S57" s="508" t="s">
        <v>14</v>
      </c>
    </row>
    <row r="58" spans="3:19">
      <c r="I58" s="949" t="s">
        <v>138</v>
      </c>
      <c r="J58" s="741" t="s">
        <v>139</v>
      </c>
      <c r="K58" s="727">
        <v>0</v>
      </c>
      <c r="L58" s="728">
        <v>0</v>
      </c>
      <c r="M58" s="728">
        <v>0</v>
      </c>
      <c r="N58" s="728">
        <v>-0.125</v>
      </c>
      <c r="O58" s="728">
        <v>-0.125</v>
      </c>
      <c r="P58" s="728">
        <v>-0.125</v>
      </c>
      <c r="Q58" s="728">
        <v>-0.125</v>
      </c>
      <c r="R58" s="728">
        <v>-0.125</v>
      </c>
      <c r="S58" s="729">
        <v>-0.125</v>
      </c>
    </row>
    <row r="62" spans="3:19"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3:19"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3:19"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9:18"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9:18"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9:18"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9:18">
      <c r="I68" s="37"/>
      <c r="J68" s="37"/>
      <c r="K68" s="37"/>
      <c r="L68" s="37"/>
      <c r="M68" s="37"/>
      <c r="N68" s="37"/>
      <c r="O68" s="37"/>
      <c r="P68" s="37"/>
      <c r="Q68" s="37"/>
    </row>
  </sheetData>
  <mergeCells count="12">
    <mergeCell ref="C6:G6"/>
    <mergeCell ref="I28:J28"/>
    <mergeCell ref="I30:I35"/>
    <mergeCell ref="I54:I55"/>
    <mergeCell ref="Q17:T17"/>
    <mergeCell ref="Q19:T19"/>
    <mergeCell ref="I56:I57"/>
    <mergeCell ref="K28:S28"/>
    <mergeCell ref="I37:I42"/>
    <mergeCell ref="I44:I46"/>
    <mergeCell ref="I47:I49"/>
    <mergeCell ref="I50:I53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06ABF18-ED22-4649-A482-6396F7437203}">
          <x14:formula1>
            <xm:f>margins!$N$165:$N$167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margins!$AL$139:$AL$140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margins!$AL$142:$AL$144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margins!$AL$128:$AL$131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margins!$AL$133:$AL$135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margins!$AY$110:$AY$114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margins!$AY$129:$AY$133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margins!$AY$116:$AY$122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margins!$AY$124:$AY$127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margins!$AY$135:$AY$136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margins!$AY$138:$AY$139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margins!$AY$141:$AY$142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margins!$AY$144:$AY$145</xm:f>
          </x14:formula1>
          <xm:sqref>V19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16"/>
  <sheetViews>
    <sheetView zoomScale="85" zoomScaleNormal="85" workbookViewId="0">
      <selection activeCell="H5" sqref="H5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2" max="22" width="9.28515625" customWidth="1"/>
    <col min="25" max="25" width="8.42578125" bestFit="1" customWidth="1"/>
    <col min="28" max="28" width="11.85546875" bestFit="1" customWidth="1"/>
    <col min="29" max="29" width="10.140625" customWidth="1"/>
    <col min="35" max="35" width="10.85546875" customWidth="1"/>
    <col min="46" max="46" width="10" customWidth="1"/>
    <col min="56" max="56" width="14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65" t="s">
        <v>280</v>
      </c>
      <c r="B1" s="2066"/>
      <c r="C1" s="2066"/>
      <c r="D1" s="2066"/>
      <c r="E1" s="2066"/>
      <c r="F1" s="2066"/>
      <c r="G1" s="2066"/>
      <c r="H1" s="2067"/>
      <c r="J1" s="2065" t="s">
        <v>696</v>
      </c>
      <c r="K1" s="2066"/>
      <c r="L1" s="2066"/>
      <c r="M1" s="2066"/>
      <c r="N1" s="2066"/>
      <c r="O1" s="2066"/>
      <c r="P1" s="2066"/>
      <c r="Q1" s="2067"/>
      <c r="S1" s="129"/>
      <c r="T1" s="130" t="s">
        <v>224</v>
      </c>
      <c r="U1" s="131"/>
      <c r="Z1" s="1363" t="s">
        <v>34</v>
      </c>
      <c r="AD1" s="1363" t="s">
        <v>35</v>
      </c>
      <c r="AH1" s="1363" t="s">
        <v>222</v>
      </c>
      <c r="AN1" s="38" t="s">
        <v>96</v>
      </c>
      <c r="AQ1" s="1363" t="s">
        <v>351</v>
      </c>
      <c r="AR1" s="38" t="s">
        <v>90</v>
      </c>
      <c r="AS1" s="38" t="s">
        <v>91</v>
      </c>
      <c r="AT1" s="38" t="s">
        <v>13</v>
      </c>
      <c r="AU1" s="38" t="s">
        <v>88</v>
      </c>
      <c r="AV1" s="38" t="s">
        <v>92</v>
      </c>
      <c r="AW1" s="38" t="s">
        <v>93</v>
      </c>
      <c r="AX1" s="38" t="s">
        <v>94</v>
      </c>
      <c r="AY1" s="38" t="s">
        <v>95</v>
      </c>
      <c r="BA1" s="38"/>
      <c r="BB1" s="38" t="s">
        <v>96</v>
      </c>
      <c r="BG1" s="36" t="s">
        <v>145</v>
      </c>
      <c r="BH1" s="36" t="s">
        <v>146</v>
      </c>
      <c r="BJ1" s="2070" t="s">
        <v>728</v>
      </c>
      <c r="BK1" s="2070"/>
      <c r="BL1" s="2070"/>
      <c r="BN1" s="2070" t="s">
        <v>729</v>
      </c>
      <c r="BO1" s="2070"/>
      <c r="BP1" s="2070"/>
      <c r="BR1" s="2070" t="s">
        <v>730</v>
      </c>
      <c r="BS1" s="2070"/>
      <c r="BT1" s="2070"/>
      <c r="BV1" s="2070" t="s">
        <v>731</v>
      </c>
      <c r="BW1" s="2070"/>
      <c r="BX1" s="2070"/>
      <c r="BY1" s="2070"/>
      <c r="BZ1" s="2070"/>
      <c r="CB1" s="1641" t="s">
        <v>286</v>
      </c>
      <c r="CC1" s="1641"/>
      <c r="CD1" s="1641"/>
      <c r="CE1" s="1641"/>
      <c r="CF1" s="1364" t="s">
        <v>468</v>
      </c>
      <c r="CJ1" s="1364"/>
      <c r="CM1" s="1364" t="s">
        <v>516</v>
      </c>
      <c r="CN1" s="1364" t="s">
        <v>590</v>
      </c>
      <c r="CP1" s="1364"/>
      <c r="CR1" t="s">
        <v>595</v>
      </c>
      <c r="CS1" t="s">
        <v>596</v>
      </c>
      <c r="CT1" t="s">
        <v>597</v>
      </c>
    </row>
    <row r="2" spans="1:101" ht="15.75" customHeight="1">
      <c r="S2" s="129"/>
      <c r="T2" s="130" t="s">
        <v>225</v>
      </c>
      <c r="U2" s="132"/>
      <c r="Z2" s="23" t="s">
        <v>33</v>
      </c>
      <c r="AA2" s="24" t="s">
        <v>4</v>
      </c>
      <c r="AB2" s="24" t="s">
        <v>5</v>
      </c>
      <c r="AD2" s="23" t="s">
        <v>33</v>
      </c>
      <c r="AE2" s="24" t="s">
        <v>4</v>
      </c>
      <c r="AF2" s="24" t="s">
        <v>5</v>
      </c>
      <c r="AH2" s="23" t="s">
        <v>33</v>
      </c>
      <c r="AI2" s="24" t="s">
        <v>4</v>
      </c>
      <c r="AJ2" s="24" t="s">
        <v>5</v>
      </c>
      <c r="AK2" s="1418" t="s">
        <v>726</v>
      </c>
      <c r="AN2">
        <v>0</v>
      </c>
      <c r="AR2" s="68">
        <v>8.25</v>
      </c>
      <c r="AS2">
        <f t="shared" ref="AS2:AU30" si="0">$AX$2</f>
        <v>2.7250000000000001</v>
      </c>
      <c r="AT2">
        <f t="shared" si="0"/>
        <v>2.7250000000000001</v>
      </c>
      <c r="AU2">
        <f t="shared" si="0"/>
        <v>2.7250000000000001</v>
      </c>
      <c r="AV2">
        <f t="shared" ref="AV2:AW30" si="1">$AY$2</f>
        <v>2.7250000000000001</v>
      </c>
      <c r="AW2">
        <f t="shared" si="1"/>
        <v>2.7250000000000001</v>
      </c>
      <c r="AX2" s="1364">
        <f>2.725</f>
        <v>2.7250000000000001</v>
      </c>
      <c r="AY2" s="1364">
        <f>AX2</f>
        <v>2.7250000000000001</v>
      </c>
      <c r="BA2" s="127"/>
      <c r="BB2">
        <v>0</v>
      </c>
      <c r="BE2" s="55" t="s">
        <v>97</v>
      </c>
      <c r="BF2" s="56" t="s">
        <v>98</v>
      </c>
      <c r="BG2" s="57" t="s">
        <v>6</v>
      </c>
      <c r="BH2" s="57" t="s">
        <v>6</v>
      </c>
      <c r="BJ2" s="23" t="s">
        <v>33</v>
      </c>
      <c r="BK2" s="24" t="s">
        <v>287</v>
      </c>
      <c r="BL2" s="24"/>
      <c r="BN2" s="23" t="s">
        <v>33</v>
      </c>
      <c r="BO2" s="24" t="s">
        <v>288</v>
      </c>
      <c r="BP2" s="24"/>
      <c r="BR2" s="23" t="s">
        <v>33</v>
      </c>
      <c r="BS2" s="24" t="s">
        <v>392</v>
      </c>
      <c r="BT2" s="24"/>
      <c r="BV2" s="2068" t="s">
        <v>520</v>
      </c>
      <c r="BW2" s="2069"/>
      <c r="BX2" s="2069"/>
      <c r="BY2" s="2069"/>
      <c r="BZ2" s="2069"/>
      <c r="CB2" s="36" t="s">
        <v>289</v>
      </c>
      <c r="CC2" s="36" t="s">
        <v>287</v>
      </c>
      <c r="CD2" s="36" t="s">
        <v>288</v>
      </c>
      <c r="CE2" s="36"/>
      <c r="CF2" s="23" t="s">
        <v>33</v>
      </c>
      <c r="CG2" s="822" t="s">
        <v>469</v>
      </c>
      <c r="CH2" s="822" t="s">
        <v>470</v>
      </c>
      <c r="CI2" s="822" t="s">
        <v>471</v>
      </c>
      <c r="CJ2" s="823" t="s">
        <v>472</v>
      </c>
      <c r="CM2" s="23" t="s">
        <v>33</v>
      </c>
      <c r="CN2" s="822" t="s">
        <v>518</v>
      </c>
      <c r="CO2" s="822" t="s">
        <v>471</v>
      </c>
      <c r="CP2" s="823" t="s">
        <v>472</v>
      </c>
      <c r="CR2" s="55" t="s">
        <v>97</v>
      </c>
      <c r="CS2" s="57" t="s">
        <v>6</v>
      </c>
      <c r="CT2" s="57" t="s">
        <v>6</v>
      </c>
    </row>
    <row r="3" spans="1:101" ht="15.75" customHeight="1" thickBot="1">
      <c r="A3" s="36"/>
      <c r="D3" s="219"/>
      <c r="E3" s="219"/>
      <c r="F3" s="219"/>
      <c r="H3" s="1386" t="s">
        <v>690</v>
      </c>
      <c r="J3" s="36"/>
      <c r="Q3" s="1386" t="s">
        <v>690</v>
      </c>
      <c r="S3" s="133"/>
      <c r="T3" s="128"/>
      <c r="U3" s="128"/>
      <c r="V3" s="134"/>
      <c r="Z3" s="25">
        <v>6.125</v>
      </c>
      <c r="AA3" s="14">
        <f>1.885-0.15+0.25+0.1+0.125+0.1+0.1+0.15+0.15+0.1-0.25-0.1-0.412-0.1-0.25-0.15-0.1+0.15-0.05-0.5+0.15-0.15-0.1+0.15-0.25+0.15-0.1+0.1+0.1-0.1-0.25+0.125-0.1-0.1-0.15-0.25-0.1-0.25-0.1+0.25+0.25+0.15+0.15-0.15+0.1-0.25+0.2+0.1+0.05+0.05+0.05+0.1+0.05-0.1</f>
        <v>0.82300000000000006</v>
      </c>
      <c r="AB3" s="14">
        <f>AA3</f>
        <v>0.82300000000000006</v>
      </c>
      <c r="AC3" s="68"/>
      <c r="AD3" s="25">
        <f>Z3</f>
        <v>6.125</v>
      </c>
      <c r="AE3" s="14">
        <f>AA3</f>
        <v>0.82300000000000006</v>
      </c>
      <c r="AF3" s="14">
        <f>AE3</f>
        <v>0.82300000000000006</v>
      </c>
      <c r="AH3" s="25">
        <v>6.125</v>
      </c>
      <c r="AI3" s="14">
        <f>AA3-AK3</f>
        <v>0.57300000000000006</v>
      </c>
      <c r="AJ3" s="14">
        <f>AI3</f>
        <v>0.57300000000000006</v>
      </c>
      <c r="AK3" s="731">
        <v>0.25</v>
      </c>
      <c r="AL3" s="68"/>
      <c r="AR3" s="68">
        <f>AR2+0.125</f>
        <v>8.375</v>
      </c>
      <c r="AS3">
        <f t="shared" si="0"/>
        <v>2.7250000000000001</v>
      </c>
      <c r="AT3">
        <f t="shared" si="0"/>
        <v>2.7250000000000001</v>
      </c>
      <c r="AU3">
        <f t="shared" si="0"/>
        <v>2.7250000000000001</v>
      </c>
      <c r="AV3">
        <f t="shared" si="1"/>
        <v>2.7250000000000001</v>
      </c>
      <c r="AW3">
        <f t="shared" si="1"/>
        <v>2.7250000000000001</v>
      </c>
      <c r="BA3" s="127"/>
      <c r="BE3" s="59" t="s">
        <v>99</v>
      </c>
      <c r="BF3" s="69">
        <v>98</v>
      </c>
      <c r="BG3" s="61">
        <v>106</v>
      </c>
      <c r="BH3" s="70">
        <f t="shared" ref="BH3:BH8" si="2">BG3-$AY$2</f>
        <v>103.27500000000001</v>
      </c>
      <c r="BJ3" s="25">
        <v>12.375</v>
      </c>
      <c r="BK3" s="14">
        <f>2.325+0.3</f>
        <v>2.625</v>
      </c>
      <c r="BL3" s="14"/>
      <c r="BN3" s="25">
        <v>13.375</v>
      </c>
      <c r="BO3" s="14">
        <f>2.325+0.3</f>
        <v>2.625</v>
      </c>
      <c r="BP3" s="14"/>
      <c r="BR3" s="25">
        <v>7.375</v>
      </c>
      <c r="BS3" s="14">
        <f>2.275</f>
        <v>2.2749999999999999</v>
      </c>
      <c r="BT3" s="14"/>
      <c r="BU3" s="60"/>
      <c r="BV3" s="60" t="s">
        <v>223</v>
      </c>
      <c r="BW3" t="s">
        <v>521</v>
      </c>
      <c r="BX3" s="60" t="s">
        <v>522</v>
      </c>
      <c r="BY3" s="60" t="s">
        <v>523</v>
      </c>
      <c r="BZ3" s="60" t="s">
        <v>420</v>
      </c>
      <c r="CB3" t="s">
        <v>376</v>
      </c>
      <c r="CC3">
        <v>2.5</v>
      </c>
      <c r="CD3">
        <v>2.5</v>
      </c>
      <c r="CF3">
        <v>6</v>
      </c>
      <c r="CG3">
        <v>98.456999999999994</v>
      </c>
      <c r="CH3">
        <v>98.356999999999999</v>
      </c>
      <c r="CI3">
        <v>98.356999999999999</v>
      </c>
      <c r="CJ3" s="68">
        <f>2.95</f>
        <v>2.95</v>
      </c>
      <c r="CM3">
        <v>6.4989999999999997</v>
      </c>
      <c r="CO3">
        <v>98.296875</v>
      </c>
      <c r="CP3">
        <f>2.675</f>
        <v>2.6749999999999998</v>
      </c>
      <c r="CR3" s="59" t="s">
        <v>99</v>
      </c>
      <c r="CS3" s="61">
        <f t="shared" ref="CS3:CS8" si="3">CT3-$CP$3</f>
        <v>100.325</v>
      </c>
      <c r="CT3" s="68">
        <v>103</v>
      </c>
    </row>
    <row r="4" spans="1:101" ht="16.5" customHeight="1" thickTop="1">
      <c r="A4" s="1380" t="s">
        <v>226</v>
      </c>
      <c r="B4" s="1380" t="s">
        <v>227</v>
      </c>
      <c r="C4" s="1380" t="s">
        <v>13</v>
      </c>
      <c r="D4" s="1381" t="s">
        <v>88</v>
      </c>
      <c r="E4" s="1381" t="s">
        <v>228</v>
      </c>
      <c r="F4" s="1381" t="s">
        <v>229</v>
      </c>
      <c r="G4" s="1383" t="s">
        <v>703</v>
      </c>
      <c r="H4" s="1382">
        <v>0.35</v>
      </c>
      <c r="J4" s="1379" t="s">
        <v>226</v>
      </c>
      <c r="K4" s="1379" t="s">
        <v>227</v>
      </c>
      <c r="L4" s="1379" t="s">
        <v>13</v>
      </c>
      <c r="M4" s="1379" t="s">
        <v>88</v>
      </c>
      <c r="N4" s="1379" t="s">
        <v>228</v>
      </c>
      <c r="O4" s="1379" t="s">
        <v>229</v>
      </c>
      <c r="P4" s="1383" t="s">
        <v>703</v>
      </c>
      <c r="Q4" s="1382">
        <v>0.3</v>
      </c>
      <c r="S4" s="135" t="s">
        <v>230</v>
      </c>
      <c r="T4" s="136"/>
      <c r="U4" s="136"/>
      <c r="V4" s="137"/>
      <c r="Z4" s="25">
        <v>6.25</v>
      </c>
      <c r="AA4" s="14">
        <f>AA3</f>
        <v>0.82300000000000006</v>
      </c>
      <c r="AB4" s="14">
        <f>AB3</f>
        <v>0.82300000000000006</v>
      </c>
      <c r="AC4" s="68"/>
      <c r="AD4" s="25">
        <f t="shared" ref="AD4:AD28" si="4">Z4</f>
        <v>6.25</v>
      </c>
      <c r="AE4" s="14">
        <f>AE3</f>
        <v>0.82300000000000006</v>
      </c>
      <c r="AF4" s="14">
        <f>AF3</f>
        <v>0.82300000000000006</v>
      </c>
      <c r="AH4" s="25">
        <v>6.25</v>
      </c>
      <c r="AI4" s="14">
        <f>AI3</f>
        <v>0.57300000000000006</v>
      </c>
      <c r="AJ4" s="14">
        <f>AJ3</f>
        <v>0.57300000000000006</v>
      </c>
      <c r="AK4" s="731"/>
      <c r="AL4" s="68"/>
      <c r="AR4" s="68">
        <f t="shared" ref="AR4:AR30" si="5">AR3+0.125</f>
        <v>8.5</v>
      </c>
      <c r="AS4">
        <f t="shared" si="0"/>
        <v>2.7250000000000001</v>
      </c>
      <c r="AT4">
        <f t="shared" si="0"/>
        <v>2.7250000000000001</v>
      </c>
      <c r="AU4">
        <f t="shared" si="0"/>
        <v>2.7250000000000001</v>
      </c>
      <c r="AV4">
        <f t="shared" si="1"/>
        <v>2.7250000000000001</v>
      </c>
      <c r="AW4">
        <f t="shared" si="1"/>
        <v>2.7250000000000001</v>
      </c>
      <c r="BA4" s="127"/>
      <c r="BE4" s="59" t="s">
        <v>100</v>
      </c>
      <c r="BF4" s="69">
        <v>98</v>
      </c>
      <c r="BG4" s="61">
        <v>105.5</v>
      </c>
      <c r="BH4" s="71">
        <f t="shared" si="2"/>
        <v>102.77500000000001</v>
      </c>
      <c r="BJ4" s="25">
        <f>BJ3-0.125</f>
        <v>12.25</v>
      </c>
      <c r="BK4" s="14">
        <f>BK3</f>
        <v>2.625</v>
      </c>
      <c r="BL4" s="14"/>
      <c r="BN4" s="25">
        <f>BN3-0.125</f>
        <v>13.25</v>
      </c>
      <c r="BO4" s="14">
        <f>BO3</f>
        <v>2.625</v>
      </c>
      <c r="BP4" s="14"/>
      <c r="BR4" s="25">
        <v>7.5</v>
      </c>
      <c r="BS4" s="14">
        <f>BS3</f>
        <v>2.2749999999999999</v>
      </c>
      <c r="BT4" s="14"/>
      <c r="BU4" s="60"/>
      <c r="BV4" s="60">
        <v>0.5</v>
      </c>
      <c r="BW4" s="68">
        <f>2.9</f>
        <v>2.9</v>
      </c>
      <c r="BX4" s="68">
        <f>BW4</f>
        <v>2.9</v>
      </c>
      <c r="BY4" s="68">
        <f>BW4</f>
        <v>2.9</v>
      </c>
      <c r="BZ4" s="68">
        <f>BW4</f>
        <v>2.9</v>
      </c>
      <c r="CB4" s="127">
        <v>44951</v>
      </c>
      <c r="CC4">
        <v>2</v>
      </c>
      <c r="CD4">
        <v>2</v>
      </c>
      <c r="CF4">
        <v>6.125</v>
      </c>
      <c r="CG4">
        <v>99.456999999999994</v>
      </c>
      <c r="CH4">
        <v>99.356999999999999</v>
      </c>
      <c r="CI4">
        <v>99.356999999999999</v>
      </c>
      <c r="CJ4" s="68">
        <f>CJ3</f>
        <v>2.95</v>
      </c>
      <c r="CM4">
        <v>6.6239999999999997</v>
      </c>
      <c r="CO4">
        <v>98.828125</v>
      </c>
      <c r="CP4">
        <f t="shared" ref="CP4:CP37" si="6">CP3</f>
        <v>2.6749999999999998</v>
      </c>
      <c r="CR4" s="59" t="s">
        <v>100</v>
      </c>
      <c r="CS4" s="61">
        <f t="shared" si="3"/>
        <v>100.325</v>
      </c>
      <c r="CT4" s="68">
        <v>103</v>
      </c>
    </row>
    <row r="5" spans="1:101" ht="17.25" customHeight="1">
      <c r="A5" s="68">
        <v>6</v>
      </c>
      <c r="C5" s="1365">
        <f>$G5+$H5+$H$4</f>
        <v>-0.29999999999999993</v>
      </c>
      <c r="D5" s="1365">
        <f t="shared" ref="D5:D33" si="7">$G5+$H5+$H$4</f>
        <v>-0.29999999999999993</v>
      </c>
      <c r="F5" s="1365">
        <f t="shared" ref="F5:F33" si="8">$G5+$H5+$H$4</f>
        <v>-0.29999999999999993</v>
      </c>
      <c r="G5" s="1384">
        <v>-0.7</v>
      </c>
      <c r="H5" s="1417">
        <v>0.05</v>
      </c>
      <c r="I5" s="1365"/>
      <c r="J5" s="1365">
        <v>6</v>
      </c>
      <c r="K5" s="1378"/>
      <c r="L5" s="1365">
        <f>$P5+$Q5+$Q$4</f>
        <v>3.3</v>
      </c>
      <c r="M5" s="1365">
        <f t="shared" ref="M5:M33" si="9">$P5+$Q5+$Q$4</f>
        <v>3.3</v>
      </c>
      <c r="N5" s="1365"/>
      <c r="O5" s="1365">
        <f t="shared" ref="O5:O33" si="10">$P5+$Q5+$Q$4</f>
        <v>3.3</v>
      </c>
      <c r="P5" s="1384">
        <v>3</v>
      </c>
      <c r="Q5" s="1385">
        <v>0</v>
      </c>
      <c r="S5" s="138" t="s">
        <v>231</v>
      </c>
      <c r="T5" s="139"/>
      <c r="U5" s="139"/>
      <c r="V5" s="140">
        <v>400</v>
      </c>
      <c r="Z5" s="25">
        <v>6.375</v>
      </c>
      <c r="AA5" s="14">
        <f t="shared" ref="AA5:AA28" si="11">AA4</f>
        <v>0.82300000000000006</v>
      </c>
      <c r="AB5" s="14">
        <f t="shared" ref="AB5:AB28" si="12">AB4</f>
        <v>0.82300000000000006</v>
      </c>
      <c r="AC5" s="68"/>
      <c r="AD5" s="25">
        <f t="shared" si="4"/>
        <v>6.375</v>
      </c>
      <c r="AE5" s="14">
        <f t="shared" ref="AE5:AE28" si="13">AE4</f>
        <v>0.82300000000000006</v>
      </c>
      <c r="AF5" s="14">
        <f t="shared" ref="AF5:AF28" si="14">AF4</f>
        <v>0.82300000000000006</v>
      </c>
      <c r="AH5" s="25">
        <v>6.375</v>
      </c>
      <c r="AI5" s="14">
        <f t="shared" ref="AI5:AI28" si="15">AI4</f>
        <v>0.57300000000000006</v>
      </c>
      <c r="AJ5" s="14">
        <f t="shared" ref="AJ5:AJ28" si="16">AJ4</f>
        <v>0.57300000000000006</v>
      </c>
      <c r="AK5" s="731"/>
      <c r="AL5" s="68"/>
      <c r="AR5" s="68">
        <f t="shared" si="5"/>
        <v>8.625</v>
      </c>
      <c r="AS5">
        <f t="shared" si="0"/>
        <v>2.7250000000000001</v>
      </c>
      <c r="AT5">
        <f t="shared" si="0"/>
        <v>2.7250000000000001</v>
      </c>
      <c r="AU5">
        <f t="shared" si="0"/>
        <v>2.7250000000000001</v>
      </c>
      <c r="AV5">
        <f t="shared" si="1"/>
        <v>2.7250000000000001</v>
      </c>
      <c r="AW5">
        <f t="shared" si="1"/>
        <v>2.7250000000000001</v>
      </c>
      <c r="BA5" s="127"/>
      <c r="BE5" s="59" t="s">
        <v>7</v>
      </c>
      <c r="BF5" s="69">
        <v>98</v>
      </c>
      <c r="BG5" s="61">
        <v>105</v>
      </c>
      <c r="BH5" s="71">
        <f t="shared" si="2"/>
        <v>102.27500000000001</v>
      </c>
      <c r="BJ5" s="25">
        <f t="shared" ref="BJ5:BJ43" si="17">BJ4-0.125</f>
        <v>12.125</v>
      </c>
      <c r="BK5" s="14">
        <f t="shared" ref="BK5:BK43" si="18">BK4</f>
        <v>2.625</v>
      </c>
      <c r="BL5" s="14"/>
      <c r="BN5" s="25">
        <f t="shared" ref="BN5:BN42" si="19">BN4-0.125</f>
        <v>13.125</v>
      </c>
      <c r="BO5" s="14">
        <f t="shared" ref="BO5:BO42" si="20">BO4</f>
        <v>2.625</v>
      </c>
      <c r="BP5" s="14"/>
      <c r="BR5" s="25">
        <v>7.625</v>
      </c>
      <c r="BS5" s="14">
        <f t="shared" ref="BS5:BS49" si="21">BS4</f>
        <v>2.2749999999999999</v>
      </c>
      <c r="BT5" s="14"/>
      <c r="BU5" s="60"/>
      <c r="BV5" s="60">
        <v>0.625</v>
      </c>
      <c r="BW5" s="68">
        <f>BW4</f>
        <v>2.9</v>
      </c>
      <c r="BX5" s="68">
        <f t="shared" ref="BX5:BX50" si="22">BX4</f>
        <v>2.9</v>
      </c>
      <c r="BY5" s="68">
        <f t="shared" ref="BY5:BY50" si="23">BY4</f>
        <v>2.9</v>
      </c>
      <c r="BZ5" s="68">
        <f t="shared" ref="BZ5:BZ50" si="24">BZ4</f>
        <v>2.9</v>
      </c>
      <c r="CB5" s="127">
        <v>45296</v>
      </c>
      <c r="CC5">
        <f>CC4-0.25</f>
        <v>1.75</v>
      </c>
      <c r="CD5">
        <f>CD4-0.25</f>
        <v>1.75</v>
      </c>
      <c r="CF5">
        <v>6.25</v>
      </c>
      <c r="CG5">
        <v>100.33199999999999</v>
      </c>
      <c r="CH5">
        <v>100.232</v>
      </c>
      <c r="CI5">
        <v>100.232</v>
      </c>
      <c r="CJ5" s="68">
        <f t="shared" ref="CJ5:CJ31" si="25">CJ4</f>
        <v>2.95</v>
      </c>
      <c r="CM5">
        <v>6.7489999999999997</v>
      </c>
      <c r="CO5">
        <v>99.359375</v>
      </c>
      <c r="CP5">
        <f t="shared" si="6"/>
        <v>2.6749999999999998</v>
      </c>
      <c r="CR5" s="59" t="s">
        <v>7</v>
      </c>
      <c r="CS5" s="61">
        <f t="shared" si="3"/>
        <v>100.325</v>
      </c>
      <c r="CT5" s="68">
        <v>103</v>
      </c>
      <c r="CU5" s="1007"/>
      <c r="CV5" s="68"/>
      <c r="CW5" s="68"/>
    </row>
    <row r="6" spans="1:101" ht="17.25" customHeight="1">
      <c r="A6" s="68">
        <v>6.125</v>
      </c>
      <c r="C6" s="1365">
        <f t="shared" ref="C6:C33" si="26">$G6+$H6+$H$4</f>
        <v>-0.2062499999999915</v>
      </c>
      <c r="D6" s="1365">
        <f t="shared" si="7"/>
        <v>-0.2062499999999915</v>
      </c>
      <c r="F6" s="1365">
        <f t="shared" si="8"/>
        <v>-0.2062499999999915</v>
      </c>
      <c r="G6" s="1384">
        <v>-0.8</v>
      </c>
      <c r="H6" s="1417">
        <v>0.24375000000000852</v>
      </c>
      <c r="I6" s="1365"/>
      <c r="J6" s="1365">
        <v>6.125</v>
      </c>
      <c r="K6" s="1378"/>
      <c r="L6" s="1365">
        <f t="shared" ref="L6:L33" si="27">$P6+$Q6+$Q$4</f>
        <v>3.3</v>
      </c>
      <c r="M6" s="1365">
        <f t="shared" si="9"/>
        <v>3.3</v>
      </c>
      <c r="N6" s="1365"/>
      <c r="O6" s="1365">
        <f t="shared" si="10"/>
        <v>3.3</v>
      </c>
      <c r="P6" s="1384">
        <v>3</v>
      </c>
      <c r="Q6" s="1385">
        <v>0</v>
      </c>
      <c r="S6" s="141" t="s">
        <v>232</v>
      </c>
      <c r="T6" s="142"/>
      <c r="U6" s="142"/>
      <c r="V6" s="143">
        <v>500</v>
      </c>
      <c r="Z6" s="25">
        <v>6.5</v>
      </c>
      <c r="AA6" s="14">
        <f t="shared" si="11"/>
        <v>0.82300000000000006</v>
      </c>
      <c r="AB6" s="14">
        <f t="shared" si="12"/>
        <v>0.82300000000000006</v>
      </c>
      <c r="AC6" s="68"/>
      <c r="AD6" s="25">
        <f t="shared" si="4"/>
        <v>6.5</v>
      </c>
      <c r="AE6" s="14">
        <f t="shared" si="13"/>
        <v>0.82300000000000006</v>
      </c>
      <c r="AF6" s="14">
        <f t="shared" si="14"/>
        <v>0.82300000000000006</v>
      </c>
      <c r="AH6" s="25">
        <v>6.5</v>
      </c>
      <c r="AI6" s="14">
        <f t="shared" si="15"/>
        <v>0.57300000000000006</v>
      </c>
      <c r="AJ6" s="14">
        <f t="shared" si="16"/>
        <v>0.57300000000000006</v>
      </c>
      <c r="AK6" s="731"/>
      <c r="AL6" s="68"/>
      <c r="AR6" s="68">
        <f t="shared" si="5"/>
        <v>8.75</v>
      </c>
      <c r="AS6">
        <f t="shared" si="0"/>
        <v>2.7250000000000001</v>
      </c>
      <c r="AT6">
        <f t="shared" si="0"/>
        <v>2.7250000000000001</v>
      </c>
      <c r="AU6">
        <f t="shared" si="0"/>
        <v>2.7250000000000001</v>
      </c>
      <c r="AV6">
        <f t="shared" si="1"/>
        <v>2.7250000000000001</v>
      </c>
      <c r="AW6">
        <f t="shared" si="1"/>
        <v>2.7250000000000001</v>
      </c>
      <c r="BA6" s="127"/>
      <c r="BE6" s="59" t="s">
        <v>9</v>
      </c>
      <c r="BF6" s="69">
        <v>98</v>
      </c>
      <c r="BG6" s="61">
        <v>104.5</v>
      </c>
      <c r="BH6" s="71">
        <f t="shared" si="2"/>
        <v>101.77500000000001</v>
      </c>
      <c r="BJ6" s="25">
        <f t="shared" si="17"/>
        <v>12</v>
      </c>
      <c r="BK6" s="14">
        <f t="shared" si="18"/>
        <v>2.625</v>
      </c>
      <c r="BL6" s="14"/>
      <c r="BN6" s="25">
        <f t="shared" si="19"/>
        <v>13</v>
      </c>
      <c r="BO6" s="14">
        <f t="shared" si="20"/>
        <v>2.625</v>
      </c>
      <c r="BP6" s="14"/>
      <c r="BR6" s="25">
        <v>7.75</v>
      </c>
      <c r="BS6" s="14">
        <f t="shared" si="21"/>
        <v>2.2749999999999999</v>
      </c>
      <c r="BT6" s="14"/>
      <c r="BU6" s="60"/>
      <c r="BV6" s="60">
        <v>0.75</v>
      </c>
      <c r="BW6" s="68">
        <f t="shared" ref="BW6:BW50" si="28">BW5</f>
        <v>2.9</v>
      </c>
      <c r="BX6" s="68">
        <f t="shared" si="22"/>
        <v>2.9</v>
      </c>
      <c r="BY6" s="68">
        <f t="shared" si="23"/>
        <v>2.9</v>
      </c>
      <c r="BZ6" s="68">
        <f t="shared" si="24"/>
        <v>2.9</v>
      </c>
      <c r="CB6" s="127">
        <v>45483</v>
      </c>
      <c r="CC6" s="68">
        <v>1.9</v>
      </c>
      <c r="CD6" s="68">
        <v>1.9</v>
      </c>
      <c r="CF6">
        <v>6.375</v>
      </c>
      <c r="CG6">
        <v>101.08199999999999</v>
      </c>
      <c r="CH6">
        <v>100.982</v>
      </c>
      <c r="CI6">
        <v>100.982</v>
      </c>
      <c r="CJ6" s="68">
        <f t="shared" si="25"/>
        <v>2.95</v>
      </c>
      <c r="CM6">
        <v>6.8739999999999997</v>
      </c>
      <c r="CO6">
        <v>99.890625</v>
      </c>
      <c r="CP6">
        <f t="shared" si="6"/>
        <v>2.6749999999999998</v>
      </c>
      <c r="CR6" s="59" t="s">
        <v>9</v>
      </c>
      <c r="CS6" s="61">
        <f t="shared" si="3"/>
        <v>100.075</v>
      </c>
      <c r="CT6" s="68">
        <v>102.75</v>
      </c>
      <c r="CU6" s="1007"/>
      <c r="CV6" s="68"/>
      <c r="CW6" s="68"/>
    </row>
    <row r="7" spans="1:101" ht="17.25" customHeight="1">
      <c r="A7" s="68">
        <v>6.25</v>
      </c>
      <c r="C7" s="1365">
        <f t="shared" si="26"/>
        <v>-0.23750000000000027</v>
      </c>
      <c r="D7" s="1365">
        <f t="shared" si="7"/>
        <v>-0.23750000000000027</v>
      </c>
      <c r="F7" s="1365">
        <f t="shared" si="8"/>
        <v>-0.23750000000000027</v>
      </c>
      <c r="G7" s="1384">
        <v>-0.88200000000000012</v>
      </c>
      <c r="H7" s="1417">
        <v>0.29449999999999987</v>
      </c>
      <c r="I7" s="1365"/>
      <c r="J7" s="1365">
        <v>6.25</v>
      </c>
      <c r="K7" s="1378"/>
      <c r="L7" s="1365">
        <f t="shared" si="27"/>
        <v>3.3</v>
      </c>
      <c r="M7" s="1365">
        <f t="shared" si="9"/>
        <v>3.3</v>
      </c>
      <c r="N7" s="1365"/>
      <c r="O7" s="1365">
        <f t="shared" si="10"/>
        <v>3.3</v>
      </c>
      <c r="P7" s="1384">
        <v>3</v>
      </c>
      <c r="Q7" s="1385">
        <v>0</v>
      </c>
      <c r="S7" s="138" t="s">
        <v>233</v>
      </c>
      <c r="T7" s="139"/>
      <c r="U7" s="144"/>
      <c r="V7" s="140">
        <v>575</v>
      </c>
      <c r="Z7" s="25">
        <v>6.625</v>
      </c>
      <c r="AA7" s="14">
        <f t="shared" si="11"/>
        <v>0.82300000000000006</v>
      </c>
      <c r="AB7" s="14">
        <f t="shared" si="12"/>
        <v>0.82300000000000006</v>
      </c>
      <c r="AC7" s="68"/>
      <c r="AD7" s="25">
        <f t="shared" si="4"/>
        <v>6.625</v>
      </c>
      <c r="AE7" s="14">
        <f t="shared" si="13"/>
        <v>0.82300000000000006</v>
      </c>
      <c r="AF7" s="14">
        <f t="shared" si="14"/>
        <v>0.82300000000000006</v>
      </c>
      <c r="AH7" s="25">
        <v>6.625</v>
      </c>
      <c r="AI7" s="14">
        <f t="shared" si="15"/>
        <v>0.57300000000000006</v>
      </c>
      <c r="AJ7" s="14">
        <f t="shared" si="16"/>
        <v>0.57300000000000006</v>
      </c>
      <c r="AK7" s="731"/>
      <c r="AL7" s="68"/>
      <c r="AN7" s="2064" t="s">
        <v>114</v>
      </c>
      <c r="AO7" s="2064"/>
      <c r="AP7" s="2064"/>
      <c r="AR7" s="68">
        <f t="shared" si="5"/>
        <v>8.875</v>
      </c>
      <c r="AS7">
        <f t="shared" si="0"/>
        <v>2.7250000000000001</v>
      </c>
      <c r="AT7">
        <f t="shared" si="0"/>
        <v>2.7250000000000001</v>
      </c>
      <c r="AU7">
        <f t="shared" si="0"/>
        <v>2.7250000000000001</v>
      </c>
      <c r="AV7">
        <f t="shared" si="1"/>
        <v>2.7250000000000001</v>
      </c>
      <c r="AW7">
        <f t="shared" si="1"/>
        <v>2.7250000000000001</v>
      </c>
      <c r="BA7" s="127"/>
      <c r="BE7" s="59" t="s">
        <v>11</v>
      </c>
      <c r="BF7" s="69">
        <v>98</v>
      </c>
      <c r="BG7" s="61">
        <v>102</v>
      </c>
      <c r="BH7" s="71">
        <f t="shared" si="2"/>
        <v>99.275000000000006</v>
      </c>
      <c r="BJ7" s="25">
        <f t="shared" si="17"/>
        <v>11.875</v>
      </c>
      <c r="BK7" s="14">
        <f t="shared" si="18"/>
        <v>2.625</v>
      </c>
      <c r="BL7" s="14"/>
      <c r="BN7" s="25">
        <f t="shared" si="19"/>
        <v>12.875</v>
      </c>
      <c r="BO7" s="14">
        <f t="shared" si="20"/>
        <v>2.625</v>
      </c>
      <c r="BP7" s="14"/>
      <c r="BR7" s="25">
        <v>7.875</v>
      </c>
      <c r="BS7" s="14">
        <f t="shared" si="21"/>
        <v>2.2749999999999999</v>
      </c>
      <c r="BT7" s="14"/>
      <c r="BU7" s="60"/>
      <c r="BV7" s="60">
        <v>0.875</v>
      </c>
      <c r="BW7" s="68">
        <f t="shared" si="28"/>
        <v>2.9</v>
      </c>
      <c r="BX7" s="68">
        <f t="shared" si="22"/>
        <v>2.9</v>
      </c>
      <c r="BY7" s="68">
        <f t="shared" si="23"/>
        <v>2.9</v>
      </c>
      <c r="BZ7" s="68">
        <f t="shared" si="24"/>
        <v>2.9</v>
      </c>
      <c r="CF7">
        <v>6.5</v>
      </c>
      <c r="CG7">
        <v>101.77</v>
      </c>
      <c r="CH7">
        <v>101.67</v>
      </c>
      <c r="CI7">
        <v>101.67</v>
      </c>
      <c r="CJ7" s="68">
        <f t="shared" si="25"/>
        <v>2.95</v>
      </c>
      <c r="CM7">
        <v>6.9979999999999993</v>
      </c>
      <c r="CO7">
        <v>100.421875</v>
      </c>
      <c r="CP7">
        <f t="shared" si="6"/>
        <v>2.6749999999999998</v>
      </c>
      <c r="CR7" s="59" t="s">
        <v>11</v>
      </c>
      <c r="CS7" s="61">
        <f t="shared" si="3"/>
        <v>99.325000000000003</v>
      </c>
      <c r="CT7" s="68">
        <v>102</v>
      </c>
      <c r="CU7" s="1007"/>
      <c r="CV7" s="68"/>
      <c r="CW7" s="68"/>
    </row>
    <row r="8" spans="1:101" ht="15.75" customHeight="1" thickBot="1">
      <c r="A8" s="68">
        <v>6.375</v>
      </c>
      <c r="C8" s="1365">
        <f t="shared" si="26"/>
        <v>-0.39374999999999505</v>
      </c>
      <c r="D8" s="1365">
        <f t="shared" si="7"/>
        <v>-0.39374999999999505</v>
      </c>
      <c r="F8" s="1365">
        <f t="shared" si="8"/>
        <v>-0.39374999999999505</v>
      </c>
      <c r="G8" s="1384">
        <v>-1.0820000000000001</v>
      </c>
      <c r="H8" s="1417">
        <v>0.3382500000000051</v>
      </c>
      <c r="I8" s="1365"/>
      <c r="J8" s="1365">
        <v>6.375</v>
      </c>
      <c r="K8" s="1378"/>
      <c r="L8" s="1365">
        <f t="shared" si="27"/>
        <v>3.3</v>
      </c>
      <c r="M8" s="1365">
        <f t="shared" si="9"/>
        <v>3.3</v>
      </c>
      <c r="N8" s="1365"/>
      <c r="O8" s="1365">
        <f t="shared" si="10"/>
        <v>3.3</v>
      </c>
      <c r="P8" s="1384">
        <v>3</v>
      </c>
      <c r="Q8" s="1385">
        <v>0</v>
      </c>
      <c r="S8" s="141"/>
      <c r="T8" s="142"/>
      <c r="U8" s="142"/>
      <c r="V8" s="143"/>
      <c r="Z8" s="25">
        <v>6.75</v>
      </c>
      <c r="AA8" s="14">
        <f t="shared" si="11"/>
        <v>0.82300000000000006</v>
      </c>
      <c r="AB8" s="14">
        <f t="shared" si="12"/>
        <v>0.82300000000000006</v>
      </c>
      <c r="AC8" s="68"/>
      <c r="AD8" s="25">
        <f t="shared" si="4"/>
        <v>6.75</v>
      </c>
      <c r="AE8" s="14">
        <f t="shared" si="13"/>
        <v>0.82300000000000006</v>
      </c>
      <c r="AF8" s="14">
        <f t="shared" si="14"/>
        <v>0.82300000000000006</v>
      </c>
      <c r="AH8" s="25">
        <v>6.75</v>
      </c>
      <c r="AI8" s="14">
        <f t="shared" si="15"/>
        <v>0.57300000000000006</v>
      </c>
      <c r="AJ8" s="14">
        <f t="shared" si="16"/>
        <v>0.57300000000000006</v>
      </c>
      <c r="AK8" s="731"/>
      <c r="AL8" s="68"/>
      <c r="AN8" t="s">
        <v>97</v>
      </c>
      <c r="AO8" t="s">
        <v>98</v>
      </c>
      <c r="AP8" t="s">
        <v>6</v>
      </c>
      <c r="AR8" s="68">
        <f t="shared" si="5"/>
        <v>9</v>
      </c>
      <c r="AS8">
        <f t="shared" si="0"/>
        <v>2.7250000000000001</v>
      </c>
      <c r="AT8">
        <f t="shared" si="0"/>
        <v>2.7250000000000001</v>
      </c>
      <c r="AU8">
        <f t="shared" si="0"/>
        <v>2.7250000000000001</v>
      </c>
      <c r="AV8">
        <f t="shared" si="1"/>
        <v>2.7250000000000001</v>
      </c>
      <c r="AW8">
        <f t="shared" si="1"/>
        <v>2.7250000000000001</v>
      </c>
      <c r="BA8" s="127"/>
      <c r="BE8" s="62" t="s">
        <v>101</v>
      </c>
      <c r="BF8" s="72">
        <v>98</v>
      </c>
      <c r="BG8" s="63">
        <v>101</v>
      </c>
      <c r="BH8" s="73">
        <f t="shared" si="2"/>
        <v>98.275000000000006</v>
      </c>
      <c r="BJ8" s="25">
        <f t="shared" si="17"/>
        <v>11.75</v>
      </c>
      <c r="BK8" s="14">
        <f t="shared" si="18"/>
        <v>2.625</v>
      </c>
      <c r="BL8" s="14"/>
      <c r="BN8" s="25">
        <f t="shared" si="19"/>
        <v>12.75</v>
      </c>
      <c r="BO8" s="14">
        <f t="shared" si="20"/>
        <v>2.625</v>
      </c>
      <c r="BP8" s="14"/>
      <c r="BR8" s="25">
        <v>8</v>
      </c>
      <c r="BS8" s="14">
        <f t="shared" si="21"/>
        <v>2.2749999999999999</v>
      </c>
      <c r="BT8" s="14"/>
      <c r="BU8" s="60"/>
      <c r="BV8" s="60">
        <v>1</v>
      </c>
      <c r="BW8" s="68">
        <f t="shared" si="28"/>
        <v>2.9</v>
      </c>
      <c r="BX8" s="68">
        <f t="shared" si="22"/>
        <v>2.9</v>
      </c>
      <c r="BY8" s="68">
        <f t="shared" si="23"/>
        <v>2.9</v>
      </c>
      <c r="BZ8" s="68">
        <f t="shared" si="24"/>
        <v>2.9</v>
      </c>
      <c r="CF8">
        <v>6.625</v>
      </c>
      <c r="CG8">
        <v>102.45699999999999</v>
      </c>
      <c r="CH8">
        <v>102.357</v>
      </c>
      <c r="CI8">
        <v>102.357</v>
      </c>
      <c r="CJ8" s="68">
        <f t="shared" si="25"/>
        <v>2.95</v>
      </c>
      <c r="CM8">
        <v>7.1239999999999997</v>
      </c>
      <c r="CO8">
        <v>100.953125</v>
      </c>
      <c r="CP8">
        <f>CP7</f>
        <v>2.6749999999999998</v>
      </c>
      <c r="CR8" s="62" t="s">
        <v>101</v>
      </c>
      <c r="CS8" s="63">
        <f t="shared" si="3"/>
        <v>98.325000000000003</v>
      </c>
      <c r="CT8" s="68">
        <v>101</v>
      </c>
      <c r="CU8" s="1007"/>
      <c r="CV8" s="68"/>
      <c r="CW8" s="68"/>
    </row>
    <row r="9" spans="1:101" ht="15.75" customHeight="1">
      <c r="A9" s="68">
        <v>6.5</v>
      </c>
      <c r="C9" s="1365">
        <f t="shared" si="26"/>
        <v>-0.37762499999998511</v>
      </c>
      <c r="D9" s="1365">
        <f t="shared" si="7"/>
        <v>-0.37762499999998511</v>
      </c>
      <c r="F9" s="1365">
        <f t="shared" si="8"/>
        <v>-0.37762499999998511</v>
      </c>
      <c r="G9" s="1384">
        <v>-1.1824999999999939</v>
      </c>
      <c r="H9" s="1417">
        <v>0.45487500000000874</v>
      </c>
      <c r="I9" s="1365"/>
      <c r="J9" s="1365">
        <v>6.5</v>
      </c>
      <c r="K9" s="1378"/>
      <c r="L9" s="1365">
        <f t="shared" si="27"/>
        <v>3.3</v>
      </c>
      <c r="M9" s="1365">
        <f t="shared" si="9"/>
        <v>3.3</v>
      </c>
      <c r="N9" s="1365"/>
      <c r="O9" s="1365">
        <f t="shared" si="10"/>
        <v>3.3</v>
      </c>
      <c r="P9" s="1384">
        <v>3</v>
      </c>
      <c r="Q9" s="1385">
        <v>0</v>
      </c>
      <c r="S9" s="138"/>
      <c r="T9" s="139"/>
      <c r="U9" s="139"/>
      <c r="V9" s="140"/>
      <c r="Z9" s="25">
        <v>6.875</v>
      </c>
      <c r="AA9" s="14">
        <f t="shared" si="11"/>
        <v>0.82300000000000006</v>
      </c>
      <c r="AB9" s="14">
        <f t="shared" si="12"/>
        <v>0.82300000000000006</v>
      </c>
      <c r="AC9" s="68"/>
      <c r="AD9" s="25">
        <f t="shared" si="4"/>
        <v>6.875</v>
      </c>
      <c r="AE9" s="14">
        <f t="shared" si="13"/>
        <v>0.82300000000000006</v>
      </c>
      <c r="AF9" s="14">
        <f t="shared" si="14"/>
        <v>0.82300000000000006</v>
      </c>
      <c r="AH9" s="25">
        <v>6.875</v>
      </c>
      <c r="AI9" s="14">
        <f t="shared" si="15"/>
        <v>0.57300000000000006</v>
      </c>
      <c r="AJ9" s="14">
        <f t="shared" si="16"/>
        <v>0.57300000000000006</v>
      </c>
      <c r="AK9" s="731"/>
      <c r="AL9" s="68"/>
      <c r="AN9" t="s">
        <v>99</v>
      </c>
      <c r="AO9">
        <v>98</v>
      </c>
      <c r="AP9">
        <v>0</v>
      </c>
      <c r="AR9" s="68">
        <f t="shared" si="5"/>
        <v>9.125</v>
      </c>
      <c r="AS9">
        <f t="shared" si="0"/>
        <v>2.7250000000000001</v>
      </c>
      <c r="AT9">
        <f t="shared" si="0"/>
        <v>2.7250000000000001</v>
      </c>
      <c r="AU9">
        <f t="shared" si="0"/>
        <v>2.7250000000000001</v>
      </c>
      <c r="AV9">
        <f t="shared" si="1"/>
        <v>2.7250000000000001</v>
      </c>
      <c r="AW9">
        <f t="shared" si="1"/>
        <v>2.7250000000000001</v>
      </c>
      <c r="BA9" s="127"/>
      <c r="BJ9" s="25">
        <f t="shared" si="17"/>
        <v>11.625</v>
      </c>
      <c r="BK9" s="14">
        <f t="shared" si="18"/>
        <v>2.625</v>
      </c>
      <c r="BL9" s="14"/>
      <c r="BN9" s="25">
        <f t="shared" si="19"/>
        <v>12.625</v>
      </c>
      <c r="BO9" s="14">
        <f t="shared" si="20"/>
        <v>2.625</v>
      </c>
      <c r="BP9" s="14"/>
      <c r="BR9" s="25">
        <v>8.125</v>
      </c>
      <c r="BS9" s="14">
        <f t="shared" si="21"/>
        <v>2.2749999999999999</v>
      </c>
      <c r="BT9" s="14"/>
      <c r="BU9" s="60"/>
      <c r="BV9" s="60">
        <v>1.125</v>
      </c>
      <c r="BW9" s="68">
        <f t="shared" si="28"/>
        <v>2.9</v>
      </c>
      <c r="BX9" s="68">
        <f t="shared" si="22"/>
        <v>2.9</v>
      </c>
      <c r="BY9" s="68">
        <f t="shared" si="23"/>
        <v>2.9</v>
      </c>
      <c r="BZ9" s="68">
        <f t="shared" si="24"/>
        <v>2.9</v>
      </c>
      <c r="CF9">
        <v>6.75</v>
      </c>
      <c r="CG9">
        <v>103.145</v>
      </c>
      <c r="CH9">
        <v>103.045</v>
      </c>
      <c r="CI9">
        <v>103.045</v>
      </c>
      <c r="CJ9" s="68">
        <f t="shared" si="25"/>
        <v>2.95</v>
      </c>
      <c r="CM9">
        <v>7.2489999999999997</v>
      </c>
      <c r="CO9">
        <v>101.484375</v>
      </c>
      <c r="CP9">
        <f>CP8</f>
        <v>2.6749999999999998</v>
      </c>
      <c r="CU9" s="1007"/>
      <c r="CV9" s="68"/>
      <c r="CW9" s="68"/>
    </row>
    <row r="10" spans="1:101" ht="15.75" customHeight="1">
      <c r="A10" s="68">
        <v>6.625</v>
      </c>
      <c r="C10" s="1365">
        <f t="shared" si="26"/>
        <v>-0.36250000000000082</v>
      </c>
      <c r="D10" s="1365">
        <f t="shared" si="7"/>
        <v>-0.36250000000000082</v>
      </c>
      <c r="F10" s="1365">
        <f t="shared" si="8"/>
        <v>-0.36250000000000082</v>
      </c>
      <c r="G10" s="1384">
        <v>-1.1432499999999983</v>
      </c>
      <c r="H10" s="1417">
        <v>0.43074999999999752</v>
      </c>
      <c r="I10" s="1365"/>
      <c r="J10" s="1365">
        <v>6.625</v>
      </c>
      <c r="K10" s="1378"/>
      <c r="L10" s="1365">
        <f t="shared" si="27"/>
        <v>3.3</v>
      </c>
      <c r="M10" s="1365">
        <f t="shared" si="9"/>
        <v>3.3</v>
      </c>
      <c r="N10" s="1365"/>
      <c r="O10" s="1365">
        <f t="shared" si="10"/>
        <v>3.3</v>
      </c>
      <c r="P10" s="1384">
        <v>3</v>
      </c>
      <c r="Q10" s="1385">
        <v>0</v>
      </c>
      <c r="S10" s="145"/>
      <c r="T10" s="146"/>
      <c r="U10" s="146"/>
      <c r="V10" s="147"/>
      <c r="Z10" s="25">
        <v>7</v>
      </c>
      <c r="AA10" s="14">
        <f t="shared" si="11"/>
        <v>0.82300000000000006</v>
      </c>
      <c r="AB10" s="14">
        <f t="shared" si="12"/>
        <v>0.82300000000000006</v>
      </c>
      <c r="AC10" s="68"/>
      <c r="AD10" s="25">
        <f t="shared" si="4"/>
        <v>7</v>
      </c>
      <c r="AE10" s="14">
        <f t="shared" si="13"/>
        <v>0.82300000000000006</v>
      </c>
      <c r="AF10" s="14">
        <f t="shared" si="14"/>
        <v>0.82300000000000006</v>
      </c>
      <c r="AH10" s="25">
        <v>7</v>
      </c>
      <c r="AI10" s="14">
        <f t="shared" si="15"/>
        <v>0.57300000000000006</v>
      </c>
      <c r="AJ10" s="14">
        <f t="shared" si="16"/>
        <v>0.57300000000000006</v>
      </c>
      <c r="AK10" s="731"/>
      <c r="AL10" s="68"/>
      <c r="AN10" t="s">
        <v>100</v>
      </c>
      <c r="AO10">
        <v>98</v>
      </c>
      <c r="AP10">
        <v>0</v>
      </c>
      <c r="AR10" s="68">
        <f t="shared" si="5"/>
        <v>9.25</v>
      </c>
      <c r="AS10">
        <f t="shared" si="0"/>
        <v>2.7250000000000001</v>
      </c>
      <c r="AT10">
        <f t="shared" si="0"/>
        <v>2.7250000000000001</v>
      </c>
      <c r="AU10">
        <f t="shared" si="0"/>
        <v>2.7250000000000001</v>
      </c>
      <c r="AV10">
        <f t="shared" si="1"/>
        <v>2.7250000000000001</v>
      </c>
      <c r="AW10">
        <f t="shared" si="1"/>
        <v>2.7250000000000001</v>
      </c>
      <c r="BA10" s="127"/>
      <c r="BJ10" s="25">
        <f t="shared" si="17"/>
        <v>11.5</v>
      </c>
      <c r="BK10" s="14">
        <f t="shared" si="18"/>
        <v>2.625</v>
      </c>
      <c r="BL10" s="14"/>
      <c r="BN10" s="25">
        <f t="shared" si="19"/>
        <v>12.5</v>
      </c>
      <c r="BO10" s="14">
        <f t="shared" si="20"/>
        <v>2.625</v>
      </c>
      <c r="BP10" s="14"/>
      <c r="BR10" s="25">
        <v>8.25</v>
      </c>
      <c r="BS10" s="14">
        <f t="shared" si="21"/>
        <v>2.2749999999999999</v>
      </c>
      <c r="BT10" s="14"/>
      <c r="BU10" s="60"/>
      <c r="BV10" s="60">
        <v>1.25</v>
      </c>
      <c r="BW10" s="68">
        <f t="shared" si="28"/>
        <v>2.9</v>
      </c>
      <c r="BX10" s="68">
        <f t="shared" si="22"/>
        <v>2.9</v>
      </c>
      <c r="BY10" s="68">
        <f t="shared" si="23"/>
        <v>2.9</v>
      </c>
      <c r="BZ10" s="68">
        <f t="shared" si="24"/>
        <v>2.9</v>
      </c>
      <c r="CF10">
        <v>6.875</v>
      </c>
      <c r="CG10">
        <v>103.77</v>
      </c>
      <c r="CH10">
        <v>103.67</v>
      </c>
      <c r="CI10">
        <v>103.67</v>
      </c>
      <c r="CJ10" s="68">
        <f t="shared" si="25"/>
        <v>2.95</v>
      </c>
      <c r="CM10">
        <v>7.3739999999999997</v>
      </c>
      <c r="CO10">
        <v>102</v>
      </c>
      <c r="CP10">
        <f t="shared" si="6"/>
        <v>2.6749999999999998</v>
      </c>
      <c r="CU10" s="1007"/>
      <c r="CV10" s="68"/>
      <c r="CW10" s="68"/>
    </row>
    <row r="11" spans="1:101" ht="15.75" customHeight="1">
      <c r="A11" s="68">
        <v>6.75</v>
      </c>
      <c r="C11" s="1365">
        <f t="shared" si="26"/>
        <v>-0.34637499999999366</v>
      </c>
      <c r="D11" s="1365">
        <f t="shared" si="7"/>
        <v>-0.34637499999999366</v>
      </c>
      <c r="F11" s="1365">
        <f t="shared" si="8"/>
        <v>-0.34637499999999366</v>
      </c>
      <c r="G11" s="1384">
        <v>-1.1050000000000075</v>
      </c>
      <c r="H11" s="1417">
        <v>0.40862500000001389</v>
      </c>
      <c r="I11" s="1365"/>
      <c r="J11" s="1365">
        <v>6.75</v>
      </c>
      <c r="K11" s="1378"/>
      <c r="L11" s="1365">
        <f t="shared" si="27"/>
        <v>3.3</v>
      </c>
      <c r="M11" s="1365">
        <f t="shared" si="9"/>
        <v>3.3</v>
      </c>
      <c r="N11" s="1365"/>
      <c r="O11" s="1365">
        <f t="shared" si="10"/>
        <v>3.3</v>
      </c>
      <c r="P11" s="1384">
        <v>3</v>
      </c>
      <c r="Q11" s="1385">
        <v>0</v>
      </c>
      <c r="S11" s="148" t="s">
        <v>234</v>
      </c>
      <c r="T11" s="142"/>
      <c r="U11" s="142"/>
      <c r="V11" s="143"/>
      <c r="Z11" s="25">
        <v>7.125</v>
      </c>
      <c r="AA11" s="14">
        <f t="shared" si="11"/>
        <v>0.82300000000000006</v>
      </c>
      <c r="AB11" s="14">
        <f t="shared" si="12"/>
        <v>0.82300000000000006</v>
      </c>
      <c r="AC11" s="68"/>
      <c r="AD11" s="25">
        <f t="shared" si="4"/>
        <v>7.125</v>
      </c>
      <c r="AE11" s="14">
        <f t="shared" si="13"/>
        <v>0.82300000000000006</v>
      </c>
      <c r="AF11" s="14">
        <f t="shared" si="14"/>
        <v>0.82300000000000006</v>
      </c>
      <c r="AH11" s="25">
        <v>7.125</v>
      </c>
      <c r="AI11" s="14">
        <f t="shared" si="15"/>
        <v>0.57300000000000006</v>
      </c>
      <c r="AJ11" s="14">
        <f t="shared" si="16"/>
        <v>0.57300000000000006</v>
      </c>
      <c r="AK11" s="731"/>
      <c r="AL11" s="68"/>
      <c r="AN11" t="s">
        <v>7</v>
      </c>
      <c r="AO11">
        <v>98</v>
      </c>
      <c r="AP11">
        <v>0</v>
      </c>
      <c r="AR11" s="68">
        <f t="shared" si="5"/>
        <v>9.375</v>
      </c>
      <c r="AS11">
        <f t="shared" si="0"/>
        <v>2.7250000000000001</v>
      </c>
      <c r="AT11">
        <f t="shared" si="0"/>
        <v>2.7250000000000001</v>
      </c>
      <c r="AU11">
        <f t="shared" si="0"/>
        <v>2.7250000000000001</v>
      </c>
      <c r="AV11">
        <f t="shared" si="1"/>
        <v>2.7250000000000001</v>
      </c>
      <c r="AW11">
        <f t="shared" si="1"/>
        <v>2.7250000000000001</v>
      </c>
      <c r="BA11" s="127"/>
      <c r="BJ11" s="25">
        <f t="shared" si="17"/>
        <v>11.375</v>
      </c>
      <c r="BK11" s="14">
        <f t="shared" si="18"/>
        <v>2.625</v>
      </c>
      <c r="BL11" s="14"/>
      <c r="BN11" s="25">
        <f t="shared" si="19"/>
        <v>12.375</v>
      </c>
      <c r="BO11" s="14">
        <f t="shared" si="20"/>
        <v>2.625</v>
      </c>
      <c r="BP11" s="14"/>
      <c r="BR11" s="25">
        <v>8.375</v>
      </c>
      <c r="BS11" s="14">
        <f t="shared" si="21"/>
        <v>2.2749999999999999</v>
      </c>
      <c r="BT11" s="14"/>
      <c r="BU11" s="60"/>
      <c r="BV11" s="60">
        <v>1.375</v>
      </c>
      <c r="BW11" s="68">
        <f t="shared" si="28"/>
        <v>2.9</v>
      </c>
      <c r="BX11" s="68">
        <f t="shared" si="22"/>
        <v>2.9</v>
      </c>
      <c r="BY11" s="68">
        <f t="shared" si="23"/>
        <v>2.9</v>
      </c>
      <c r="BZ11" s="68">
        <f t="shared" si="24"/>
        <v>2.9</v>
      </c>
      <c r="CF11">
        <v>7</v>
      </c>
      <c r="CG11">
        <v>104.426</v>
      </c>
      <c r="CH11">
        <v>104.32599999999999</v>
      </c>
      <c r="CI11">
        <v>104.32599999999999</v>
      </c>
      <c r="CJ11" s="68">
        <f t="shared" si="25"/>
        <v>2.95</v>
      </c>
      <c r="CM11">
        <v>7.4989999999999997</v>
      </c>
      <c r="CO11">
        <v>102.5</v>
      </c>
      <c r="CP11">
        <f t="shared" si="6"/>
        <v>2.6749999999999998</v>
      </c>
      <c r="CU11" s="1007"/>
      <c r="CV11" s="68"/>
      <c r="CW11" s="68"/>
    </row>
    <row r="12" spans="1:101" ht="15.75" customHeight="1">
      <c r="A12" s="68">
        <v>6.875</v>
      </c>
      <c r="C12" s="1365">
        <f t="shared" si="26"/>
        <v>-0.39324999999999244</v>
      </c>
      <c r="D12" s="1365">
        <f t="shared" si="7"/>
        <v>-0.39324999999999244</v>
      </c>
      <c r="F12" s="1365">
        <f t="shared" si="8"/>
        <v>-0.39324999999999244</v>
      </c>
      <c r="G12" s="1384">
        <v>-1.1044999999999907</v>
      </c>
      <c r="H12" s="1417">
        <v>0.36124999999999829</v>
      </c>
      <c r="I12" s="1365"/>
      <c r="J12" s="1365">
        <v>6.875</v>
      </c>
      <c r="K12" s="1378"/>
      <c r="L12" s="1365">
        <f t="shared" si="27"/>
        <v>3.3</v>
      </c>
      <c r="M12" s="1365">
        <f t="shared" si="9"/>
        <v>3.3</v>
      </c>
      <c r="N12" s="1365"/>
      <c r="O12" s="1365">
        <f t="shared" si="10"/>
        <v>3.3</v>
      </c>
      <c r="P12" s="1384">
        <v>3</v>
      </c>
      <c r="Q12" s="1385">
        <v>0</v>
      </c>
      <c r="S12" s="149" t="s">
        <v>235</v>
      </c>
      <c r="T12" s="128"/>
      <c r="U12" s="128"/>
      <c r="V12" s="150"/>
      <c r="Z12" s="25">
        <v>7.25</v>
      </c>
      <c r="AA12" s="14">
        <f t="shared" si="11"/>
        <v>0.82300000000000006</v>
      </c>
      <c r="AB12" s="14">
        <f t="shared" si="12"/>
        <v>0.82300000000000006</v>
      </c>
      <c r="AC12" s="68"/>
      <c r="AD12" s="25">
        <f t="shared" si="4"/>
        <v>7.25</v>
      </c>
      <c r="AE12" s="14">
        <f t="shared" si="13"/>
        <v>0.82300000000000006</v>
      </c>
      <c r="AF12" s="14">
        <f t="shared" si="14"/>
        <v>0.82300000000000006</v>
      </c>
      <c r="AH12" s="25">
        <v>7.25</v>
      </c>
      <c r="AI12" s="14">
        <f t="shared" si="15"/>
        <v>0.57300000000000006</v>
      </c>
      <c r="AJ12" s="14">
        <f t="shared" si="16"/>
        <v>0.57300000000000006</v>
      </c>
      <c r="AK12" s="731"/>
      <c r="AL12" s="68"/>
      <c r="AN12" t="s">
        <v>9</v>
      </c>
      <c r="AO12">
        <v>98</v>
      </c>
      <c r="AP12">
        <v>0</v>
      </c>
      <c r="AR12" s="68">
        <f t="shared" si="5"/>
        <v>9.5</v>
      </c>
      <c r="AS12">
        <f t="shared" si="0"/>
        <v>2.7250000000000001</v>
      </c>
      <c r="AT12">
        <f t="shared" si="0"/>
        <v>2.7250000000000001</v>
      </c>
      <c r="AU12">
        <f t="shared" si="0"/>
        <v>2.7250000000000001</v>
      </c>
      <c r="AV12">
        <f t="shared" si="1"/>
        <v>2.7250000000000001</v>
      </c>
      <c r="AW12">
        <f t="shared" si="1"/>
        <v>2.7250000000000001</v>
      </c>
      <c r="BA12" s="127"/>
      <c r="BJ12" s="25">
        <f t="shared" si="17"/>
        <v>11.25</v>
      </c>
      <c r="BK12" s="14">
        <f t="shared" si="18"/>
        <v>2.625</v>
      </c>
      <c r="BL12" s="14"/>
      <c r="BN12" s="25">
        <f t="shared" si="19"/>
        <v>12.25</v>
      </c>
      <c r="BO12" s="14">
        <f t="shared" si="20"/>
        <v>2.625</v>
      </c>
      <c r="BP12" s="14"/>
      <c r="BR12" s="25">
        <v>8.5</v>
      </c>
      <c r="BS12" s="14">
        <f t="shared" si="21"/>
        <v>2.2749999999999999</v>
      </c>
      <c r="BT12" s="14"/>
      <c r="BU12" s="60"/>
      <c r="BV12" s="60">
        <v>1.5</v>
      </c>
      <c r="BW12" s="68">
        <f t="shared" si="28"/>
        <v>2.9</v>
      </c>
      <c r="BX12" s="68">
        <f t="shared" si="22"/>
        <v>2.9</v>
      </c>
      <c r="BY12" s="68">
        <f t="shared" si="23"/>
        <v>2.9</v>
      </c>
      <c r="BZ12" s="68">
        <f t="shared" si="24"/>
        <v>2.9</v>
      </c>
      <c r="CF12">
        <v>7.125</v>
      </c>
      <c r="CG12">
        <v>105.114</v>
      </c>
      <c r="CH12">
        <v>105.014</v>
      </c>
      <c r="CI12">
        <v>105.014</v>
      </c>
      <c r="CJ12" s="68">
        <f t="shared" si="25"/>
        <v>2.95</v>
      </c>
      <c r="CM12">
        <v>7.6239999999999997</v>
      </c>
      <c r="CO12">
        <v>103</v>
      </c>
      <c r="CP12">
        <f t="shared" si="6"/>
        <v>2.6749999999999998</v>
      </c>
      <c r="CU12" s="1007"/>
      <c r="CV12" s="68"/>
      <c r="CW12" s="68"/>
    </row>
    <row r="13" spans="1:101" ht="15" customHeight="1">
      <c r="A13" s="68">
        <v>7</v>
      </c>
      <c r="C13" s="1365">
        <f t="shared" si="26"/>
        <v>-0.11224999999999363</v>
      </c>
      <c r="D13" s="1365">
        <f t="shared" si="7"/>
        <v>-0.11224999999999363</v>
      </c>
      <c r="F13" s="1365">
        <f t="shared" si="8"/>
        <v>-0.11224999999999363</v>
      </c>
      <c r="G13" s="1384">
        <v>-0.94750000000001688</v>
      </c>
      <c r="H13" s="1417">
        <v>0.48525000000002327</v>
      </c>
      <c r="I13" s="1365"/>
      <c r="J13" s="1365">
        <v>7</v>
      </c>
      <c r="K13" s="1378"/>
      <c r="L13" s="1365">
        <f t="shared" si="27"/>
        <v>3.3</v>
      </c>
      <c r="M13" s="1365">
        <f t="shared" si="9"/>
        <v>3.3</v>
      </c>
      <c r="N13" s="1365"/>
      <c r="O13" s="1365">
        <f t="shared" si="10"/>
        <v>3.3</v>
      </c>
      <c r="P13" s="1384">
        <v>3</v>
      </c>
      <c r="Q13" s="1385">
        <v>0</v>
      </c>
      <c r="S13" s="149" t="s">
        <v>236</v>
      </c>
      <c r="T13" s="128"/>
      <c r="U13" s="128"/>
      <c r="V13" s="150"/>
      <c r="Z13" s="25">
        <v>7.375</v>
      </c>
      <c r="AA13" s="14">
        <f t="shared" si="11"/>
        <v>0.82300000000000006</v>
      </c>
      <c r="AB13" s="14">
        <f t="shared" si="12"/>
        <v>0.82300000000000006</v>
      </c>
      <c r="AC13" s="68"/>
      <c r="AD13" s="25">
        <f t="shared" si="4"/>
        <v>7.375</v>
      </c>
      <c r="AE13" s="14">
        <f t="shared" si="13"/>
        <v>0.82300000000000006</v>
      </c>
      <c r="AF13" s="14">
        <f t="shared" si="14"/>
        <v>0.82300000000000006</v>
      </c>
      <c r="AH13" s="25">
        <v>7.375</v>
      </c>
      <c r="AI13" s="14">
        <f t="shared" si="15"/>
        <v>0.57300000000000006</v>
      </c>
      <c r="AJ13" s="14">
        <f t="shared" si="16"/>
        <v>0.57300000000000006</v>
      </c>
      <c r="AK13" s="731"/>
      <c r="AL13" s="68"/>
      <c r="AN13" t="s">
        <v>11</v>
      </c>
      <c r="AO13">
        <v>98</v>
      </c>
      <c r="AP13">
        <v>0</v>
      </c>
      <c r="AR13" s="68">
        <f t="shared" si="5"/>
        <v>9.625</v>
      </c>
      <c r="AS13">
        <f t="shared" si="0"/>
        <v>2.7250000000000001</v>
      </c>
      <c r="AT13">
        <f t="shared" si="0"/>
        <v>2.7250000000000001</v>
      </c>
      <c r="AU13">
        <f t="shared" si="0"/>
        <v>2.7250000000000001</v>
      </c>
      <c r="AV13">
        <f t="shared" si="1"/>
        <v>2.7250000000000001</v>
      </c>
      <c r="AW13">
        <f t="shared" si="1"/>
        <v>2.7250000000000001</v>
      </c>
      <c r="BA13" s="127"/>
      <c r="BJ13" s="25">
        <f t="shared" si="17"/>
        <v>11.125</v>
      </c>
      <c r="BK13" s="14">
        <f t="shared" si="18"/>
        <v>2.625</v>
      </c>
      <c r="BL13" s="14"/>
      <c r="BN13" s="25">
        <f t="shared" si="19"/>
        <v>12.125</v>
      </c>
      <c r="BO13" s="14">
        <f t="shared" si="20"/>
        <v>2.625</v>
      </c>
      <c r="BP13" s="14"/>
      <c r="BR13" s="25">
        <v>8.625</v>
      </c>
      <c r="BS13" s="14">
        <f t="shared" si="21"/>
        <v>2.2749999999999999</v>
      </c>
      <c r="BT13" s="14"/>
      <c r="BU13" s="60"/>
      <c r="BV13" s="60">
        <v>1.625</v>
      </c>
      <c r="BW13" s="68">
        <f t="shared" si="28"/>
        <v>2.9</v>
      </c>
      <c r="BX13" s="68">
        <f t="shared" si="22"/>
        <v>2.9</v>
      </c>
      <c r="BY13" s="68">
        <f t="shared" si="23"/>
        <v>2.9</v>
      </c>
      <c r="BZ13" s="68">
        <f t="shared" si="24"/>
        <v>2.9</v>
      </c>
      <c r="CF13">
        <v>7.25</v>
      </c>
      <c r="CG13">
        <v>105.77</v>
      </c>
      <c r="CH13">
        <v>105.67</v>
      </c>
      <c r="CI13">
        <v>105.67</v>
      </c>
      <c r="CJ13" s="68">
        <f t="shared" si="25"/>
        <v>2.95</v>
      </c>
      <c r="CM13">
        <v>7.7489999999999997</v>
      </c>
      <c r="CO13">
        <v>103.5</v>
      </c>
      <c r="CP13">
        <f t="shared" si="6"/>
        <v>2.6749999999999998</v>
      </c>
      <c r="CU13" s="1007"/>
      <c r="CV13" s="68"/>
      <c r="CW13" s="68"/>
    </row>
    <row r="14" spans="1:101" ht="15.75" thickBot="1">
      <c r="A14" s="68">
        <v>7.125</v>
      </c>
      <c r="C14" s="1365">
        <f t="shared" si="26"/>
        <v>0.20075000000000143</v>
      </c>
      <c r="D14" s="1365">
        <f t="shared" si="7"/>
        <v>0.20075000000000143</v>
      </c>
      <c r="F14" s="1365">
        <f t="shared" si="8"/>
        <v>0.20075000000000143</v>
      </c>
      <c r="G14" s="1384">
        <v>-0.8470000000000204</v>
      </c>
      <c r="H14" s="1417">
        <v>0.69775000000002185</v>
      </c>
      <c r="I14" s="1365"/>
      <c r="J14" s="1365">
        <v>7.125</v>
      </c>
      <c r="K14" s="1378"/>
      <c r="L14" s="1365">
        <f t="shared" si="27"/>
        <v>3.3</v>
      </c>
      <c r="M14" s="1365">
        <f t="shared" si="9"/>
        <v>3.3</v>
      </c>
      <c r="N14" s="1365"/>
      <c r="O14" s="1365">
        <f t="shared" si="10"/>
        <v>3.3</v>
      </c>
      <c r="P14" s="1384">
        <v>3</v>
      </c>
      <c r="Q14" s="1385">
        <v>0</v>
      </c>
      <c r="S14" s="151"/>
      <c r="T14" s="152"/>
      <c r="U14" s="152"/>
      <c r="V14" s="153"/>
      <c r="Z14" s="25">
        <v>7.5</v>
      </c>
      <c r="AA14" s="14">
        <f t="shared" si="11"/>
        <v>0.82300000000000006</v>
      </c>
      <c r="AB14" s="14">
        <f t="shared" si="12"/>
        <v>0.82300000000000006</v>
      </c>
      <c r="AC14" s="68"/>
      <c r="AD14" s="25">
        <f t="shared" si="4"/>
        <v>7.5</v>
      </c>
      <c r="AE14" s="14">
        <f t="shared" si="13"/>
        <v>0.82300000000000006</v>
      </c>
      <c r="AF14" s="14">
        <f t="shared" si="14"/>
        <v>0.82300000000000006</v>
      </c>
      <c r="AG14" s="68"/>
      <c r="AH14" s="25">
        <v>7.5</v>
      </c>
      <c r="AI14" s="14">
        <f t="shared" si="15"/>
        <v>0.57300000000000006</v>
      </c>
      <c r="AJ14" s="14">
        <f t="shared" si="16"/>
        <v>0.57300000000000006</v>
      </c>
      <c r="AK14" s="731"/>
      <c r="AL14" s="68"/>
      <c r="AN14" t="s">
        <v>101</v>
      </c>
      <c r="AO14">
        <v>98</v>
      </c>
      <c r="AP14">
        <v>0</v>
      </c>
      <c r="AR14" s="68">
        <f t="shared" si="5"/>
        <v>9.75</v>
      </c>
      <c r="AS14">
        <f t="shared" si="0"/>
        <v>2.7250000000000001</v>
      </c>
      <c r="AT14">
        <f t="shared" si="0"/>
        <v>2.7250000000000001</v>
      </c>
      <c r="AU14">
        <f t="shared" si="0"/>
        <v>2.7250000000000001</v>
      </c>
      <c r="AV14">
        <f t="shared" si="1"/>
        <v>2.7250000000000001</v>
      </c>
      <c r="AW14">
        <f t="shared" si="1"/>
        <v>2.7250000000000001</v>
      </c>
      <c r="BA14" s="127"/>
      <c r="BJ14" s="25">
        <f t="shared" si="17"/>
        <v>11</v>
      </c>
      <c r="BK14" s="14">
        <f t="shared" si="18"/>
        <v>2.625</v>
      </c>
      <c r="BL14" s="14"/>
      <c r="BN14" s="25">
        <f t="shared" si="19"/>
        <v>12</v>
      </c>
      <c r="BO14" s="14">
        <f t="shared" si="20"/>
        <v>2.625</v>
      </c>
      <c r="BP14" s="14"/>
      <c r="BR14" s="25">
        <v>8.75</v>
      </c>
      <c r="BS14" s="14">
        <f t="shared" si="21"/>
        <v>2.2749999999999999</v>
      </c>
      <c r="BT14" s="14"/>
      <c r="BU14" s="60"/>
      <c r="BV14" s="60">
        <v>1.75</v>
      </c>
      <c r="BW14" s="68">
        <f t="shared" si="28"/>
        <v>2.9</v>
      </c>
      <c r="BX14" s="68">
        <f t="shared" si="22"/>
        <v>2.9</v>
      </c>
      <c r="BY14" s="68">
        <f t="shared" si="23"/>
        <v>2.9</v>
      </c>
      <c r="BZ14" s="68">
        <f t="shared" si="24"/>
        <v>2.9</v>
      </c>
      <c r="CF14">
        <v>7.375</v>
      </c>
      <c r="CG14">
        <v>106.42700000000001</v>
      </c>
      <c r="CH14">
        <v>106.327</v>
      </c>
      <c r="CI14">
        <v>106.327</v>
      </c>
      <c r="CJ14" s="68">
        <f t="shared" si="25"/>
        <v>2.95</v>
      </c>
      <c r="CM14">
        <v>7.8739999999999997</v>
      </c>
      <c r="CO14">
        <v>103.9375</v>
      </c>
      <c r="CP14">
        <f t="shared" si="6"/>
        <v>2.6749999999999998</v>
      </c>
      <c r="CU14" s="1007"/>
      <c r="CV14" s="68"/>
      <c r="CW14" s="68"/>
    </row>
    <row r="15" spans="1:101" ht="17.25" thickTop="1">
      <c r="A15" s="68">
        <v>7.25</v>
      </c>
      <c r="C15" s="1365">
        <f t="shared" si="26"/>
        <v>0.48175000000000956</v>
      </c>
      <c r="D15" s="1365">
        <f t="shared" si="7"/>
        <v>0.48175000000000956</v>
      </c>
      <c r="F15" s="1365">
        <f t="shared" si="8"/>
        <v>0.48175000000000956</v>
      </c>
      <c r="G15" s="1384">
        <v>-0.77825000000002609</v>
      </c>
      <c r="H15" s="1417">
        <v>0.91000000000003567</v>
      </c>
      <c r="I15" s="1365"/>
      <c r="J15" s="1365">
        <v>7.25</v>
      </c>
      <c r="K15" s="1378"/>
      <c r="L15" s="1365">
        <f t="shared" si="27"/>
        <v>3.3</v>
      </c>
      <c r="M15" s="1365">
        <f t="shared" si="9"/>
        <v>3.3</v>
      </c>
      <c r="N15" s="1365"/>
      <c r="O15" s="1365">
        <f t="shared" si="10"/>
        <v>3.3</v>
      </c>
      <c r="P15" s="1384">
        <v>3</v>
      </c>
      <c r="Q15" s="1385">
        <v>0</v>
      </c>
      <c r="S15" s="154" t="s">
        <v>237</v>
      </c>
      <c r="T15" s="155"/>
      <c r="U15" s="155" t="s">
        <v>98</v>
      </c>
      <c r="V15" s="156" t="s">
        <v>6</v>
      </c>
      <c r="Z15" s="25">
        <v>7.625</v>
      </c>
      <c r="AA15" s="14">
        <f t="shared" si="11"/>
        <v>0.82300000000000006</v>
      </c>
      <c r="AB15" s="14">
        <f t="shared" si="12"/>
        <v>0.82300000000000006</v>
      </c>
      <c r="AC15" s="68"/>
      <c r="AD15" s="25">
        <f t="shared" si="4"/>
        <v>7.625</v>
      </c>
      <c r="AE15" s="14">
        <f t="shared" si="13"/>
        <v>0.82300000000000006</v>
      </c>
      <c r="AF15" s="14">
        <f t="shared" si="14"/>
        <v>0.82300000000000006</v>
      </c>
      <c r="AH15" s="25">
        <v>7.625</v>
      </c>
      <c r="AI15" s="14">
        <f t="shared" si="15"/>
        <v>0.57300000000000006</v>
      </c>
      <c r="AJ15" s="14">
        <f t="shared" si="16"/>
        <v>0.57300000000000006</v>
      </c>
      <c r="AK15" s="731"/>
      <c r="AL15" s="68"/>
      <c r="AR15" s="68">
        <f t="shared" si="5"/>
        <v>9.875</v>
      </c>
      <c r="AS15">
        <f t="shared" si="0"/>
        <v>2.7250000000000001</v>
      </c>
      <c r="AT15">
        <f t="shared" si="0"/>
        <v>2.7250000000000001</v>
      </c>
      <c r="AU15">
        <f t="shared" si="0"/>
        <v>2.7250000000000001</v>
      </c>
      <c r="AV15">
        <f t="shared" si="1"/>
        <v>2.7250000000000001</v>
      </c>
      <c r="AW15">
        <f t="shared" si="1"/>
        <v>2.7250000000000001</v>
      </c>
      <c r="BA15" s="127"/>
      <c r="BJ15" s="25">
        <f t="shared" si="17"/>
        <v>10.875</v>
      </c>
      <c r="BK15" s="14">
        <f t="shared" si="18"/>
        <v>2.625</v>
      </c>
      <c r="BL15" s="14"/>
      <c r="BN15" s="25">
        <f t="shared" si="19"/>
        <v>11.875</v>
      </c>
      <c r="BO15" s="14">
        <f t="shared" si="20"/>
        <v>2.625</v>
      </c>
      <c r="BP15" s="14"/>
      <c r="BR15" s="25">
        <v>8.875</v>
      </c>
      <c r="BS15" s="14">
        <f t="shared" si="21"/>
        <v>2.2749999999999999</v>
      </c>
      <c r="BT15" s="14"/>
      <c r="BU15" s="60"/>
      <c r="BV15" s="60">
        <v>1.875</v>
      </c>
      <c r="BW15" s="68">
        <f t="shared" si="28"/>
        <v>2.9</v>
      </c>
      <c r="BX15" s="68">
        <f t="shared" si="22"/>
        <v>2.9</v>
      </c>
      <c r="BY15" s="68">
        <f t="shared" si="23"/>
        <v>2.9</v>
      </c>
      <c r="BZ15" s="68">
        <f t="shared" si="24"/>
        <v>2.9</v>
      </c>
      <c r="CF15">
        <v>7.5</v>
      </c>
      <c r="CG15">
        <v>106.958</v>
      </c>
      <c r="CH15">
        <v>106.858</v>
      </c>
      <c r="CI15">
        <v>106.858</v>
      </c>
      <c r="CJ15" s="68">
        <f t="shared" si="25"/>
        <v>2.95</v>
      </c>
      <c r="CM15">
        <v>7.9979999999999993</v>
      </c>
      <c r="CO15">
        <v>104.25</v>
      </c>
      <c r="CP15">
        <f t="shared" si="6"/>
        <v>2.6749999999999998</v>
      </c>
      <c r="CU15" s="1007"/>
      <c r="CV15" s="68"/>
      <c r="CW15" s="68"/>
    </row>
    <row r="16" spans="1:101">
      <c r="A16" s="68">
        <v>7.375</v>
      </c>
      <c r="C16" s="1365">
        <f t="shared" si="26"/>
        <v>0.76375000000000626</v>
      </c>
      <c r="D16" s="1365">
        <f t="shared" si="7"/>
        <v>0.76375000000000626</v>
      </c>
      <c r="F16" s="1365">
        <f t="shared" si="8"/>
        <v>0.76375000000000626</v>
      </c>
      <c r="G16" s="1384">
        <v>-0.74750000000002848</v>
      </c>
      <c r="H16" s="1417">
        <v>1.1612500000000348</v>
      </c>
      <c r="I16" s="1365"/>
      <c r="J16" s="1365">
        <v>7.375</v>
      </c>
      <c r="K16" s="1378"/>
      <c r="L16" s="1365">
        <f t="shared" si="27"/>
        <v>3.3</v>
      </c>
      <c r="M16" s="1365">
        <f t="shared" si="9"/>
        <v>3.3</v>
      </c>
      <c r="N16" s="1365"/>
      <c r="O16" s="1365">
        <f t="shared" si="10"/>
        <v>3.3</v>
      </c>
      <c r="P16" s="1384">
        <v>3</v>
      </c>
      <c r="Q16" s="1385">
        <v>0</v>
      </c>
      <c r="S16" s="157" t="s">
        <v>99</v>
      </c>
      <c r="T16" s="158"/>
      <c r="U16" s="158">
        <v>98</v>
      </c>
      <c r="V16" s="159">
        <v>106</v>
      </c>
      <c r="Z16" s="25">
        <v>7.75</v>
      </c>
      <c r="AA16" s="14">
        <f t="shared" si="11"/>
        <v>0.82300000000000006</v>
      </c>
      <c r="AB16" s="14">
        <f t="shared" si="12"/>
        <v>0.82300000000000006</v>
      </c>
      <c r="AC16" s="68"/>
      <c r="AD16" s="25">
        <f t="shared" si="4"/>
        <v>7.75</v>
      </c>
      <c r="AE16" s="14">
        <f t="shared" si="13"/>
        <v>0.82300000000000006</v>
      </c>
      <c r="AF16" s="14">
        <f t="shared" si="14"/>
        <v>0.82300000000000006</v>
      </c>
      <c r="AH16" s="25">
        <v>7.75</v>
      </c>
      <c r="AI16" s="14">
        <f t="shared" si="15"/>
        <v>0.57300000000000006</v>
      </c>
      <c r="AJ16" s="14">
        <f t="shared" si="16"/>
        <v>0.57300000000000006</v>
      </c>
      <c r="AK16" s="731"/>
      <c r="AL16" s="68"/>
      <c r="AN16" s="2064" t="s">
        <v>35</v>
      </c>
      <c r="AO16" s="2064"/>
      <c r="AP16" s="2064"/>
      <c r="AR16" s="68">
        <f t="shared" si="5"/>
        <v>10</v>
      </c>
      <c r="AS16">
        <f t="shared" si="0"/>
        <v>2.7250000000000001</v>
      </c>
      <c r="AT16">
        <f t="shared" si="0"/>
        <v>2.7250000000000001</v>
      </c>
      <c r="AU16">
        <f t="shared" si="0"/>
        <v>2.7250000000000001</v>
      </c>
      <c r="AV16">
        <f t="shared" si="1"/>
        <v>2.7250000000000001</v>
      </c>
      <c r="AW16">
        <f t="shared" si="1"/>
        <v>2.7250000000000001</v>
      </c>
      <c r="BA16" s="127"/>
      <c r="BJ16" s="25">
        <f t="shared" si="17"/>
        <v>10.75</v>
      </c>
      <c r="BK16" s="14">
        <f t="shared" si="18"/>
        <v>2.625</v>
      </c>
      <c r="BL16" s="14"/>
      <c r="BN16" s="25">
        <f t="shared" si="19"/>
        <v>11.75</v>
      </c>
      <c r="BO16" s="14">
        <f t="shared" si="20"/>
        <v>2.625</v>
      </c>
      <c r="BP16" s="14"/>
      <c r="BR16" s="25">
        <v>9</v>
      </c>
      <c r="BS16" s="14">
        <f t="shared" si="21"/>
        <v>2.2749999999999999</v>
      </c>
      <c r="BT16" s="14"/>
      <c r="BU16" s="60"/>
      <c r="BV16" s="60">
        <v>2</v>
      </c>
      <c r="BW16" s="68">
        <f t="shared" si="28"/>
        <v>2.9</v>
      </c>
      <c r="BX16" s="68">
        <f t="shared" si="22"/>
        <v>2.9</v>
      </c>
      <c r="BY16" s="68">
        <f t="shared" si="23"/>
        <v>2.9</v>
      </c>
      <c r="BZ16" s="68">
        <f t="shared" si="24"/>
        <v>2.9</v>
      </c>
      <c r="CF16">
        <v>7.625</v>
      </c>
      <c r="CG16">
        <v>107.42700000000001</v>
      </c>
      <c r="CH16">
        <v>107.327</v>
      </c>
      <c r="CI16">
        <v>107.327</v>
      </c>
      <c r="CJ16" s="68">
        <f t="shared" si="25"/>
        <v>2.95</v>
      </c>
      <c r="CM16">
        <v>8.1240000000000006</v>
      </c>
      <c r="CO16">
        <v>104.5</v>
      </c>
      <c r="CP16">
        <f t="shared" si="6"/>
        <v>2.6749999999999998</v>
      </c>
      <c r="CU16" s="1007"/>
      <c r="CV16" s="68"/>
      <c r="CW16" s="68"/>
    </row>
    <row r="17" spans="1:101">
      <c r="A17" s="68">
        <v>7.5</v>
      </c>
      <c r="C17" s="1365">
        <f t="shared" si="26"/>
        <v>0.91975000000001217</v>
      </c>
      <c r="D17" s="1365">
        <f t="shared" si="7"/>
        <v>0.91975000000001217</v>
      </c>
      <c r="F17" s="1365">
        <f t="shared" si="8"/>
        <v>0.91975000000001217</v>
      </c>
      <c r="G17" s="1384">
        <v>-0.74075000000003177</v>
      </c>
      <c r="H17" s="1417">
        <v>1.310500000000044</v>
      </c>
      <c r="I17" s="1365"/>
      <c r="J17" s="1365">
        <v>7.5</v>
      </c>
      <c r="K17" s="1378"/>
      <c r="L17" s="1365">
        <f t="shared" si="27"/>
        <v>3.3</v>
      </c>
      <c r="M17" s="1365">
        <f t="shared" si="9"/>
        <v>3.3</v>
      </c>
      <c r="N17" s="1365"/>
      <c r="O17" s="1365">
        <f t="shared" si="10"/>
        <v>3.3</v>
      </c>
      <c r="P17" s="1384">
        <v>3</v>
      </c>
      <c r="Q17" s="1385">
        <v>0</v>
      </c>
      <c r="S17" s="160" t="s">
        <v>100</v>
      </c>
      <c r="T17" s="161"/>
      <c r="U17" s="161">
        <v>98</v>
      </c>
      <c r="V17" s="162">
        <v>105.5</v>
      </c>
      <c r="Z17" s="25">
        <v>7.875</v>
      </c>
      <c r="AA17" s="14">
        <f t="shared" si="11"/>
        <v>0.82300000000000006</v>
      </c>
      <c r="AB17" s="14">
        <f t="shared" si="12"/>
        <v>0.82300000000000006</v>
      </c>
      <c r="AC17" s="68"/>
      <c r="AD17" s="25">
        <f t="shared" si="4"/>
        <v>7.875</v>
      </c>
      <c r="AE17" s="14">
        <f t="shared" si="13"/>
        <v>0.82300000000000006</v>
      </c>
      <c r="AF17" s="14">
        <f t="shared" si="14"/>
        <v>0.82300000000000006</v>
      </c>
      <c r="AH17" s="25">
        <v>7.875</v>
      </c>
      <c r="AI17" s="14">
        <f t="shared" si="15"/>
        <v>0.57300000000000006</v>
      </c>
      <c r="AJ17" s="14">
        <f t="shared" si="16"/>
        <v>0.57300000000000006</v>
      </c>
      <c r="AK17" s="731"/>
      <c r="AL17" s="68"/>
      <c r="AN17" s="807"/>
      <c r="AO17" s="808" t="s">
        <v>463</v>
      </c>
      <c r="AP17" s="808" t="s">
        <v>6</v>
      </c>
      <c r="AR17" s="68">
        <f t="shared" si="5"/>
        <v>10.125</v>
      </c>
      <c r="AS17">
        <f t="shared" si="0"/>
        <v>2.7250000000000001</v>
      </c>
      <c r="AT17">
        <f t="shared" si="0"/>
        <v>2.7250000000000001</v>
      </c>
      <c r="AU17">
        <f t="shared" si="0"/>
        <v>2.7250000000000001</v>
      </c>
      <c r="AV17">
        <f t="shared" si="1"/>
        <v>2.7250000000000001</v>
      </c>
      <c r="AW17">
        <f t="shared" si="1"/>
        <v>2.7250000000000001</v>
      </c>
      <c r="BA17" s="127"/>
      <c r="BJ17" s="25">
        <f t="shared" si="17"/>
        <v>10.625</v>
      </c>
      <c r="BK17" s="14">
        <f t="shared" si="18"/>
        <v>2.625</v>
      </c>
      <c r="BL17" s="14"/>
      <c r="BN17" s="25">
        <f t="shared" si="19"/>
        <v>11.625</v>
      </c>
      <c r="BO17" s="14">
        <f t="shared" si="20"/>
        <v>2.625</v>
      </c>
      <c r="BP17" s="14"/>
      <c r="BR17" s="25">
        <v>9.125</v>
      </c>
      <c r="BS17" s="14">
        <f t="shared" si="21"/>
        <v>2.2749999999999999</v>
      </c>
      <c r="BT17" s="14"/>
      <c r="BU17" s="60"/>
      <c r="BV17" s="60">
        <v>2.125</v>
      </c>
      <c r="BW17" s="68">
        <f t="shared" si="28"/>
        <v>2.9</v>
      </c>
      <c r="BX17" s="68">
        <f t="shared" si="22"/>
        <v>2.9</v>
      </c>
      <c r="BY17" s="68">
        <f t="shared" si="23"/>
        <v>2.9</v>
      </c>
      <c r="BZ17" s="68">
        <f t="shared" si="24"/>
        <v>2.9</v>
      </c>
      <c r="CF17">
        <v>7.75</v>
      </c>
      <c r="CG17">
        <v>107.86499999999999</v>
      </c>
      <c r="CH17">
        <v>107.765</v>
      </c>
      <c r="CI17">
        <v>107.765</v>
      </c>
      <c r="CJ17" s="68">
        <f t="shared" si="25"/>
        <v>2.95</v>
      </c>
      <c r="CM17">
        <v>8.2490000000000006</v>
      </c>
      <c r="CO17">
        <v>104.75</v>
      </c>
      <c r="CP17">
        <f t="shared" si="6"/>
        <v>2.6749999999999998</v>
      </c>
      <c r="CU17" s="1007"/>
      <c r="CV17" s="68"/>
      <c r="CW17" s="68"/>
    </row>
    <row r="18" spans="1:101">
      <c r="A18" s="68">
        <v>7.625</v>
      </c>
      <c r="C18" s="1365">
        <f t="shared" si="26"/>
        <v>1.0137500000000061</v>
      </c>
      <c r="D18" s="1365">
        <f t="shared" si="7"/>
        <v>1.0137500000000061</v>
      </c>
      <c r="F18" s="1365">
        <f t="shared" si="8"/>
        <v>1.0137500000000061</v>
      </c>
      <c r="G18" s="1384">
        <v>-0.71750000000004155</v>
      </c>
      <c r="H18" s="1417">
        <v>1.3812500000000478</v>
      </c>
      <c r="I18" s="1365"/>
      <c r="J18" s="1365">
        <v>7.625</v>
      </c>
      <c r="K18" s="1378"/>
      <c r="L18" s="1365">
        <f t="shared" si="27"/>
        <v>3.3</v>
      </c>
      <c r="M18" s="1365">
        <f t="shared" si="9"/>
        <v>3.3</v>
      </c>
      <c r="N18" s="1365"/>
      <c r="O18" s="1365">
        <f t="shared" si="10"/>
        <v>3.3</v>
      </c>
      <c r="P18" s="1384">
        <v>3</v>
      </c>
      <c r="Q18" s="1385">
        <v>0</v>
      </c>
      <c r="S18" s="157" t="s">
        <v>7</v>
      </c>
      <c r="T18" s="158"/>
      <c r="U18" s="158">
        <v>98</v>
      </c>
      <c r="V18" s="159">
        <v>105</v>
      </c>
      <c r="Z18" s="25">
        <v>8</v>
      </c>
      <c r="AA18" s="14">
        <f t="shared" si="11"/>
        <v>0.82300000000000006</v>
      </c>
      <c r="AB18" s="14">
        <f t="shared" si="12"/>
        <v>0.82300000000000006</v>
      </c>
      <c r="AC18" s="68"/>
      <c r="AD18" s="25">
        <f t="shared" si="4"/>
        <v>8</v>
      </c>
      <c r="AE18" s="14">
        <f t="shared" si="13"/>
        <v>0.82300000000000006</v>
      </c>
      <c r="AF18" s="14">
        <f t="shared" si="14"/>
        <v>0.82300000000000006</v>
      </c>
      <c r="AH18" s="25">
        <v>8</v>
      </c>
      <c r="AI18" s="14">
        <f t="shared" si="15"/>
        <v>0.57300000000000006</v>
      </c>
      <c r="AJ18" s="14">
        <f t="shared" si="16"/>
        <v>0.57300000000000006</v>
      </c>
      <c r="AK18" s="731"/>
      <c r="AL18" s="68"/>
      <c r="AN18" s="817" t="s">
        <v>12</v>
      </c>
      <c r="AO18" s="809">
        <v>-1</v>
      </c>
      <c r="AP18" s="810">
        <v>100.75</v>
      </c>
      <c r="AR18" s="68">
        <f t="shared" si="5"/>
        <v>10.25</v>
      </c>
      <c r="AS18">
        <f t="shared" si="0"/>
        <v>2.7250000000000001</v>
      </c>
      <c r="AT18">
        <f t="shared" si="0"/>
        <v>2.7250000000000001</v>
      </c>
      <c r="AU18">
        <f t="shared" si="0"/>
        <v>2.7250000000000001</v>
      </c>
      <c r="AV18">
        <f t="shared" si="1"/>
        <v>2.7250000000000001</v>
      </c>
      <c r="AW18">
        <f t="shared" si="1"/>
        <v>2.7250000000000001</v>
      </c>
      <c r="BA18" s="127"/>
      <c r="BJ18" s="25">
        <f t="shared" si="17"/>
        <v>10.5</v>
      </c>
      <c r="BK18" s="14">
        <f t="shared" si="18"/>
        <v>2.625</v>
      </c>
      <c r="BL18" s="14"/>
      <c r="BN18" s="25">
        <f t="shared" si="19"/>
        <v>11.5</v>
      </c>
      <c r="BO18" s="14">
        <f t="shared" si="20"/>
        <v>2.625</v>
      </c>
      <c r="BP18" s="14"/>
      <c r="BR18" s="25">
        <v>9.25</v>
      </c>
      <c r="BS18" s="14">
        <f t="shared" si="21"/>
        <v>2.2749999999999999</v>
      </c>
      <c r="BT18" s="14"/>
      <c r="BU18" s="60"/>
      <c r="BV18" s="60">
        <v>2.25</v>
      </c>
      <c r="BW18" s="68">
        <f t="shared" si="28"/>
        <v>2.9</v>
      </c>
      <c r="BX18" s="68">
        <f t="shared" si="22"/>
        <v>2.9</v>
      </c>
      <c r="BY18" s="68">
        <f t="shared" si="23"/>
        <v>2.9</v>
      </c>
      <c r="BZ18" s="68">
        <f t="shared" si="24"/>
        <v>2.9</v>
      </c>
      <c r="CF18">
        <v>7.875</v>
      </c>
      <c r="CG18">
        <v>108.30200000000001</v>
      </c>
      <c r="CH18">
        <v>108.202</v>
      </c>
      <c r="CI18">
        <v>108.202</v>
      </c>
      <c r="CJ18" s="68">
        <f t="shared" si="25"/>
        <v>2.95</v>
      </c>
      <c r="CM18">
        <v>8.3740000000000006</v>
      </c>
      <c r="CO18">
        <v>105</v>
      </c>
      <c r="CP18">
        <f t="shared" si="6"/>
        <v>2.6749999999999998</v>
      </c>
      <c r="CU18" s="1007"/>
      <c r="CV18" s="68"/>
      <c r="CW18" s="68"/>
    </row>
    <row r="19" spans="1:101">
      <c r="A19" s="68">
        <v>7.75</v>
      </c>
      <c r="C19" s="1365">
        <f t="shared" si="26"/>
        <v>1.076750000000009</v>
      </c>
      <c r="D19" s="1365">
        <f t="shared" si="7"/>
        <v>1.076750000000009</v>
      </c>
      <c r="F19" s="1365">
        <f t="shared" si="8"/>
        <v>1.076750000000009</v>
      </c>
      <c r="G19" s="1384">
        <v>-0.71125000000004701</v>
      </c>
      <c r="H19" s="1417">
        <v>1.4380000000000559</v>
      </c>
      <c r="I19" s="1365"/>
      <c r="J19" s="1365">
        <v>7.75</v>
      </c>
      <c r="K19" s="1378"/>
      <c r="L19" s="1365">
        <f t="shared" si="27"/>
        <v>3.3</v>
      </c>
      <c r="M19" s="1365">
        <f t="shared" si="9"/>
        <v>3.3</v>
      </c>
      <c r="N19" s="1365"/>
      <c r="O19" s="1365">
        <f t="shared" si="10"/>
        <v>3.3</v>
      </c>
      <c r="P19" s="1384">
        <v>3</v>
      </c>
      <c r="Q19" s="1385">
        <v>0</v>
      </c>
      <c r="S19" s="160" t="s">
        <v>9</v>
      </c>
      <c r="T19" s="161"/>
      <c r="U19" s="161">
        <v>98</v>
      </c>
      <c r="V19" s="162">
        <v>104.5</v>
      </c>
      <c r="Z19" s="25">
        <v>8.125</v>
      </c>
      <c r="AA19" s="14">
        <f t="shared" si="11"/>
        <v>0.82300000000000006</v>
      </c>
      <c r="AB19" s="14">
        <f t="shared" si="12"/>
        <v>0.82300000000000006</v>
      </c>
      <c r="AC19" s="68"/>
      <c r="AD19" s="25">
        <f t="shared" si="4"/>
        <v>8.125</v>
      </c>
      <c r="AE19" s="14">
        <f t="shared" si="13"/>
        <v>0.82300000000000006</v>
      </c>
      <c r="AF19" s="14">
        <f t="shared" si="14"/>
        <v>0.82300000000000006</v>
      </c>
      <c r="AH19" s="25">
        <v>8.125</v>
      </c>
      <c r="AI19" s="14">
        <f t="shared" si="15"/>
        <v>0.57300000000000006</v>
      </c>
      <c r="AJ19" s="14">
        <f t="shared" si="16"/>
        <v>0.57300000000000006</v>
      </c>
      <c r="AK19" s="731"/>
      <c r="AL19" s="68"/>
      <c r="AN19" s="818" t="s">
        <v>11</v>
      </c>
      <c r="AO19" s="811">
        <v>-0.75</v>
      </c>
      <c r="AP19" s="812">
        <v>101.75</v>
      </c>
      <c r="AR19" s="68">
        <f t="shared" si="5"/>
        <v>10.375</v>
      </c>
      <c r="AS19">
        <f t="shared" si="0"/>
        <v>2.7250000000000001</v>
      </c>
      <c r="AT19">
        <f t="shared" si="0"/>
        <v>2.7250000000000001</v>
      </c>
      <c r="AU19">
        <f t="shared" si="0"/>
        <v>2.7250000000000001</v>
      </c>
      <c r="AV19">
        <f t="shared" si="1"/>
        <v>2.7250000000000001</v>
      </c>
      <c r="AW19">
        <f t="shared" si="1"/>
        <v>2.7250000000000001</v>
      </c>
      <c r="AZ19" s="870"/>
      <c r="BA19" s="127"/>
      <c r="BJ19" s="25">
        <f t="shared" si="17"/>
        <v>10.375</v>
      </c>
      <c r="BK19" s="14">
        <f t="shared" si="18"/>
        <v>2.625</v>
      </c>
      <c r="BL19" s="14"/>
      <c r="BN19" s="25">
        <f t="shared" si="19"/>
        <v>11.375</v>
      </c>
      <c r="BO19" s="14">
        <f t="shared" si="20"/>
        <v>2.625</v>
      </c>
      <c r="BP19" s="14"/>
      <c r="BR19" s="25">
        <v>9.375</v>
      </c>
      <c r="BS19" s="14">
        <f t="shared" si="21"/>
        <v>2.2749999999999999</v>
      </c>
      <c r="BT19" s="14"/>
      <c r="BU19" s="60"/>
      <c r="BV19" s="60">
        <v>2.375</v>
      </c>
      <c r="BW19" s="68">
        <f t="shared" si="28"/>
        <v>2.9</v>
      </c>
      <c r="BX19" s="68">
        <f t="shared" si="22"/>
        <v>2.9</v>
      </c>
      <c r="BY19" s="68">
        <f t="shared" si="23"/>
        <v>2.9</v>
      </c>
      <c r="BZ19" s="68">
        <f t="shared" si="24"/>
        <v>2.9</v>
      </c>
      <c r="CF19">
        <v>8</v>
      </c>
      <c r="CG19">
        <v>108.74</v>
      </c>
      <c r="CH19">
        <v>108.64</v>
      </c>
      <c r="CI19">
        <v>108.64</v>
      </c>
      <c r="CJ19" s="68">
        <f t="shared" si="25"/>
        <v>2.95</v>
      </c>
      <c r="CM19">
        <v>8.4990000000000006</v>
      </c>
      <c r="CO19">
        <v>105.25</v>
      </c>
      <c r="CP19">
        <f t="shared" si="6"/>
        <v>2.6749999999999998</v>
      </c>
      <c r="CU19" s="1007"/>
      <c r="CV19" s="68"/>
      <c r="CW19" s="68"/>
    </row>
    <row r="20" spans="1:101">
      <c r="A20" s="68">
        <v>7.875</v>
      </c>
      <c r="C20" s="1365">
        <f t="shared" si="26"/>
        <v>1.1387500000000066</v>
      </c>
      <c r="D20" s="1365">
        <f t="shared" si="7"/>
        <v>1.1387500000000066</v>
      </c>
      <c r="F20" s="1365">
        <f t="shared" si="8"/>
        <v>1.1387500000000066</v>
      </c>
      <c r="G20" s="1384">
        <v>-0.71125000000004701</v>
      </c>
      <c r="H20" s="1417">
        <v>1.5000000000000535</v>
      </c>
      <c r="I20" s="1365"/>
      <c r="J20" s="1365">
        <v>7.875</v>
      </c>
      <c r="K20" s="1378"/>
      <c r="L20" s="1365">
        <f t="shared" si="27"/>
        <v>3.3</v>
      </c>
      <c r="M20" s="1365">
        <f t="shared" si="9"/>
        <v>3.3</v>
      </c>
      <c r="N20" s="1365"/>
      <c r="O20" s="1365">
        <f t="shared" si="10"/>
        <v>3.3</v>
      </c>
      <c r="P20" s="1384">
        <v>3</v>
      </c>
      <c r="Q20" s="1385">
        <v>0</v>
      </c>
      <c r="S20" s="157" t="s">
        <v>11</v>
      </c>
      <c r="T20" s="158"/>
      <c r="U20" s="158">
        <v>98</v>
      </c>
      <c r="V20" s="163">
        <v>102.5</v>
      </c>
      <c r="Z20" s="25">
        <v>8.25</v>
      </c>
      <c r="AA20" s="14">
        <f t="shared" si="11"/>
        <v>0.82300000000000006</v>
      </c>
      <c r="AB20" s="14">
        <f t="shared" si="12"/>
        <v>0.82300000000000006</v>
      </c>
      <c r="AC20" s="68"/>
      <c r="AD20" s="25">
        <f t="shared" si="4"/>
        <v>8.25</v>
      </c>
      <c r="AE20" s="14">
        <f t="shared" si="13"/>
        <v>0.82300000000000006</v>
      </c>
      <c r="AF20" s="14">
        <f t="shared" si="14"/>
        <v>0.82300000000000006</v>
      </c>
      <c r="AH20" s="25">
        <v>8.25</v>
      </c>
      <c r="AI20" s="14">
        <f t="shared" si="15"/>
        <v>0.57300000000000006</v>
      </c>
      <c r="AJ20" s="14">
        <f t="shared" si="16"/>
        <v>0.57300000000000006</v>
      </c>
      <c r="AK20" s="731"/>
      <c r="AL20" s="68"/>
      <c r="AN20" s="819" t="s">
        <v>9</v>
      </c>
      <c r="AO20" s="813">
        <v>-0.375</v>
      </c>
      <c r="AP20" s="814">
        <v>102.5</v>
      </c>
      <c r="AR20" s="68">
        <f t="shared" si="5"/>
        <v>10.5</v>
      </c>
      <c r="AS20">
        <f t="shared" si="0"/>
        <v>2.7250000000000001</v>
      </c>
      <c r="AT20">
        <f t="shared" si="0"/>
        <v>2.7250000000000001</v>
      </c>
      <c r="AU20">
        <f t="shared" si="0"/>
        <v>2.7250000000000001</v>
      </c>
      <c r="AV20">
        <f t="shared" si="1"/>
        <v>2.7250000000000001</v>
      </c>
      <c r="AW20">
        <f t="shared" si="1"/>
        <v>2.7250000000000001</v>
      </c>
      <c r="BA20" s="127"/>
      <c r="BJ20" s="25">
        <f t="shared" si="17"/>
        <v>10.25</v>
      </c>
      <c r="BK20" s="14">
        <f t="shared" si="18"/>
        <v>2.625</v>
      </c>
      <c r="BL20" s="14"/>
      <c r="BN20" s="25">
        <f t="shared" si="19"/>
        <v>11.25</v>
      </c>
      <c r="BO20" s="14">
        <f t="shared" si="20"/>
        <v>2.625</v>
      </c>
      <c r="BP20" s="14"/>
      <c r="BR20" s="25">
        <v>9.5</v>
      </c>
      <c r="BS20" s="14">
        <f t="shared" si="21"/>
        <v>2.2749999999999999</v>
      </c>
      <c r="BT20" s="14"/>
      <c r="BU20" s="60"/>
      <c r="BV20" s="60">
        <v>2.5</v>
      </c>
      <c r="BW20" s="68">
        <f t="shared" si="28"/>
        <v>2.9</v>
      </c>
      <c r="BX20" s="68">
        <f t="shared" si="22"/>
        <v>2.9</v>
      </c>
      <c r="BY20" s="68">
        <f t="shared" si="23"/>
        <v>2.9</v>
      </c>
      <c r="BZ20" s="68">
        <f t="shared" si="24"/>
        <v>2.9</v>
      </c>
      <c r="CF20">
        <v>8.125</v>
      </c>
      <c r="CG20">
        <v>109.17700000000001</v>
      </c>
      <c r="CH20">
        <v>109.077</v>
      </c>
      <c r="CI20">
        <v>109.077</v>
      </c>
      <c r="CJ20" s="68">
        <f t="shared" si="25"/>
        <v>2.95</v>
      </c>
      <c r="CM20">
        <v>8.6240000000000006</v>
      </c>
      <c r="CO20">
        <v>105.5</v>
      </c>
      <c r="CP20">
        <f t="shared" si="6"/>
        <v>2.6749999999999998</v>
      </c>
      <c r="CU20" s="1007"/>
      <c r="CV20" s="68"/>
      <c r="CW20" s="68"/>
    </row>
    <row r="21" spans="1:101">
      <c r="A21" s="68">
        <v>8</v>
      </c>
      <c r="C21" s="1365">
        <f t="shared" si="26"/>
        <v>1.2017500000000085</v>
      </c>
      <c r="D21" s="1365">
        <f t="shared" si="7"/>
        <v>1.2017500000000085</v>
      </c>
      <c r="F21" s="1365">
        <f t="shared" si="8"/>
        <v>1.2017500000000085</v>
      </c>
      <c r="G21" s="1384">
        <v>-0.71125000000004701</v>
      </c>
      <c r="H21" s="1417">
        <v>1.5630000000000557</v>
      </c>
      <c r="I21" s="1365"/>
      <c r="J21" s="1365">
        <v>8</v>
      </c>
      <c r="K21" s="1378"/>
      <c r="L21" s="1365">
        <f t="shared" si="27"/>
        <v>3.3</v>
      </c>
      <c r="M21" s="1365">
        <f t="shared" si="9"/>
        <v>3.3</v>
      </c>
      <c r="N21" s="1365"/>
      <c r="O21" s="1365">
        <f t="shared" si="10"/>
        <v>3.3</v>
      </c>
      <c r="P21" s="1384">
        <v>3</v>
      </c>
      <c r="Q21" s="1385">
        <v>0</v>
      </c>
      <c r="S21" s="164" t="s">
        <v>101</v>
      </c>
      <c r="T21" s="165"/>
      <c r="U21" s="165">
        <v>98</v>
      </c>
      <c r="V21" s="166">
        <v>102</v>
      </c>
      <c r="Z21" s="25">
        <v>8.375</v>
      </c>
      <c r="AA21" s="14">
        <f t="shared" si="11"/>
        <v>0.82300000000000006</v>
      </c>
      <c r="AB21" s="14">
        <f t="shared" si="12"/>
        <v>0.82300000000000006</v>
      </c>
      <c r="AC21" s="68"/>
      <c r="AD21" s="25">
        <f t="shared" si="4"/>
        <v>8.375</v>
      </c>
      <c r="AE21" s="14">
        <f t="shared" si="13"/>
        <v>0.82300000000000006</v>
      </c>
      <c r="AF21" s="14">
        <f t="shared" si="14"/>
        <v>0.82300000000000006</v>
      </c>
      <c r="AH21" s="25">
        <v>8.375</v>
      </c>
      <c r="AI21" s="14">
        <f t="shared" si="15"/>
        <v>0.57300000000000006</v>
      </c>
      <c r="AJ21" s="14">
        <f t="shared" si="16"/>
        <v>0.57300000000000006</v>
      </c>
      <c r="AK21" s="731"/>
      <c r="AL21" s="68"/>
      <c r="AN21" s="818" t="s">
        <v>7</v>
      </c>
      <c r="AO21" s="811">
        <v>0</v>
      </c>
      <c r="AP21" s="812">
        <v>103</v>
      </c>
      <c r="AR21" s="68">
        <f t="shared" si="5"/>
        <v>10.625</v>
      </c>
      <c r="AS21">
        <f t="shared" si="0"/>
        <v>2.7250000000000001</v>
      </c>
      <c r="AT21">
        <f t="shared" si="0"/>
        <v>2.7250000000000001</v>
      </c>
      <c r="AU21">
        <f t="shared" si="0"/>
        <v>2.7250000000000001</v>
      </c>
      <c r="AV21">
        <f t="shared" si="1"/>
        <v>2.7250000000000001</v>
      </c>
      <c r="AW21">
        <f t="shared" si="1"/>
        <v>2.7250000000000001</v>
      </c>
      <c r="BA21" s="127"/>
      <c r="BJ21" s="25">
        <f t="shared" si="17"/>
        <v>10.125</v>
      </c>
      <c r="BK21" s="14">
        <f t="shared" si="18"/>
        <v>2.625</v>
      </c>
      <c r="BL21" s="14"/>
      <c r="BN21" s="25">
        <f t="shared" si="19"/>
        <v>11.125</v>
      </c>
      <c r="BO21" s="14">
        <f t="shared" si="20"/>
        <v>2.625</v>
      </c>
      <c r="BP21" s="14"/>
      <c r="BR21" s="25">
        <v>9.625</v>
      </c>
      <c r="BS21" s="14">
        <f t="shared" si="21"/>
        <v>2.2749999999999999</v>
      </c>
      <c r="BT21" s="14"/>
      <c r="BU21" s="60"/>
      <c r="BV21" s="60">
        <v>2.625</v>
      </c>
      <c r="BW21" s="68">
        <f t="shared" si="28"/>
        <v>2.9</v>
      </c>
      <c r="BX21" s="68">
        <f t="shared" si="22"/>
        <v>2.9</v>
      </c>
      <c r="BY21" s="68">
        <f t="shared" si="23"/>
        <v>2.9</v>
      </c>
      <c r="BZ21" s="68">
        <f t="shared" si="24"/>
        <v>2.9</v>
      </c>
      <c r="CF21">
        <v>8.25</v>
      </c>
      <c r="CG21">
        <v>109.55200000000001</v>
      </c>
      <c r="CH21">
        <v>109.452</v>
      </c>
      <c r="CI21">
        <v>109.452</v>
      </c>
      <c r="CJ21" s="68">
        <f t="shared" si="25"/>
        <v>2.95</v>
      </c>
      <c r="CM21">
        <v>8.7490000000000006</v>
      </c>
      <c r="CO21">
        <v>105.75</v>
      </c>
      <c r="CP21">
        <f t="shared" si="6"/>
        <v>2.6749999999999998</v>
      </c>
      <c r="CU21" s="1007"/>
      <c r="CV21" s="68"/>
      <c r="CW21" s="68"/>
    </row>
    <row r="22" spans="1:101">
      <c r="A22" s="68">
        <v>8.125</v>
      </c>
      <c r="C22" s="1365">
        <f t="shared" si="26"/>
        <v>1.2637500000000061</v>
      </c>
      <c r="D22" s="1365">
        <f t="shared" si="7"/>
        <v>1.2637500000000061</v>
      </c>
      <c r="F22" s="1365">
        <f t="shared" si="8"/>
        <v>1.2637500000000061</v>
      </c>
      <c r="G22" s="1384">
        <v>-0.71125000000004701</v>
      </c>
      <c r="H22" s="1417">
        <v>1.6250000000000533</v>
      </c>
      <c r="I22" s="1365"/>
      <c r="J22" s="1365">
        <v>8.125</v>
      </c>
      <c r="K22" s="1378"/>
      <c r="L22" s="1365">
        <f t="shared" si="27"/>
        <v>3.3</v>
      </c>
      <c r="M22" s="1365">
        <f t="shared" si="9"/>
        <v>3.3</v>
      </c>
      <c r="N22" s="1365"/>
      <c r="O22" s="1365">
        <f t="shared" si="10"/>
        <v>3.3</v>
      </c>
      <c r="P22" s="1384">
        <v>3</v>
      </c>
      <c r="Q22" s="1385">
        <v>0</v>
      </c>
      <c r="S22" s="167" t="s">
        <v>70</v>
      </c>
      <c r="T22" s="168"/>
      <c r="U22" s="168"/>
      <c r="V22" s="169"/>
      <c r="Z22" s="25">
        <v>8.5</v>
      </c>
      <c r="AA22" s="14">
        <f t="shared" si="11"/>
        <v>0.82300000000000006</v>
      </c>
      <c r="AB22" s="14">
        <f t="shared" si="12"/>
        <v>0.82300000000000006</v>
      </c>
      <c r="AC22" s="68"/>
      <c r="AD22" s="25">
        <f t="shared" si="4"/>
        <v>8.5</v>
      </c>
      <c r="AE22" s="14">
        <f t="shared" si="13"/>
        <v>0.82300000000000006</v>
      </c>
      <c r="AF22" s="14">
        <f t="shared" si="14"/>
        <v>0.82300000000000006</v>
      </c>
      <c r="AH22" s="25">
        <v>8.5</v>
      </c>
      <c r="AI22" s="14">
        <f t="shared" si="15"/>
        <v>0.57300000000000006</v>
      </c>
      <c r="AJ22" s="14">
        <f t="shared" si="16"/>
        <v>0.57300000000000006</v>
      </c>
      <c r="AK22" s="731"/>
      <c r="AL22" s="68"/>
      <c r="AN22" s="820" t="s">
        <v>100</v>
      </c>
      <c r="AO22" s="811">
        <v>0.25</v>
      </c>
      <c r="AP22" s="812">
        <v>103.5</v>
      </c>
      <c r="AR22" s="68">
        <f t="shared" si="5"/>
        <v>10.75</v>
      </c>
      <c r="AS22">
        <f t="shared" si="0"/>
        <v>2.7250000000000001</v>
      </c>
      <c r="AT22">
        <f t="shared" si="0"/>
        <v>2.7250000000000001</v>
      </c>
      <c r="AU22">
        <f t="shared" si="0"/>
        <v>2.7250000000000001</v>
      </c>
      <c r="AV22">
        <f t="shared" si="1"/>
        <v>2.7250000000000001</v>
      </c>
      <c r="AW22">
        <f t="shared" si="1"/>
        <v>2.7250000000000001</v>
      </c>
      <c r="BA22" s="127"/>
      <c r="BJ22" s="25">
        <f t="shared" si="17"/>
        <v>10</v>
      </c>
      <c r="BK22" s="14">
        <f t="shared" si="18"/>
        <v>2.625</v>
      </c>
      <c r="BL22" s="14"/>
      <c r="BN22" s="25">
        <f t="shared" si="19"/>
        <v>11</v>
      </c>
      <c r="BO22" s="14">
        <f t="shared" si="20"/>
        <v>2.625</v>
      </c>
      <c r="BP22" s="14"/>
      <c r="BR22" s="25">
        <v>9.75</v>
      </c>
      <c r="BS22" s="14">
        <f t="shared" si="21"/>
        <v>2.2749999999999999</v>
      </c>
      <c r="BT22" s="14"/>
      <c r="BU22" s="60"/>
      <c r="BV22" s="60">
        <v>2.75</v>
      </c>
      <c r="BW22" s="68">
        <f t="shared" si="28"/>
        <v>2.9</v>
      </c>
      <c r="BX22" s="68">
        <f t="shared" si="22"/>
        <v>2.9</v>
      </c>
      <c r="BY22" s="68">
        <f t="shared" si="23"/>
        <v>2.9</v>
      </c>
      <c r="BZ22" s="68">
        <f t="shared" si="24"/>
        <v>2.9</v>
      </c>
      <c r="CF22">
        <v>8.375</v>
      </c>
      <c r="CG22">
        <v>109.92700000000001</v>
      </c>
      <c r="CH22">
        <v>109.827</v>
      </c>
      <c r="CI22">
        <v>109.827</v>
      </c>
      <c r="CJ22" s="68">
        <f t="shared" si="25"/>
        <v>2.95</v>
      </c>
      <c r="CM22">
        <v>8.8740000000000006</v>
      </c>
      <c r="CO22">
        <v>106</v>
      </c>
      <c r="CP22">
        <f t="shared" si="6"/>
        <v>2.6749999999999998</v>
      </c>
      <c r="CU22" s="1007"/>
      <c r="CV22" s="68"/>
      <c r="CW22" s="68"/>
    </row>
    <row r="23" spans="1:101">
      <c r="A23" s="68">
        <v>8.25</v>
      </c>
      <c r="C23" s="1365">
        <f t="shared" si="26"/>
        <v>1.2637500000000061</v>
      </c>
      <c r="D23" s="1365">
        <f t="shared" si="7"/>
        <v>1.2637500000000061</v>
      </c>
      <c r="F23" s="1365">
        <f t="shared" si="8"/>
        <v>1.2637500000000061</v>
      </c>
      <c r="G23" s="1384">
        <v>-0.71125000000004701</v>
      </c>
      <c r="H23" s="1417">
        <v>1.6250000000000533</v>
      </c>
      <c r="I23" s="1365"/>
      <c r="J23" s="1365">
        <v>8.25</v>
      </c>
      <c r="K23" s="1378"/>
      <c r="L23" s="1365">
        <f t="shared" si="27"/>
        <v>3.3</v>
      </c>
      <c r="M23" s="1365">
        <f t="shared" si="9"/>
        <v>3.3</v>
      </c>
      <c r="N23" s="1365"/>
      <c r="O23" s="1365">
        <f t="shared" si="10"/>
        <v>3.3</v>
      </c>
      <c r="P23" s="1384">
        <v>3</v>
      </c>
      <c r="Q23" s="1385">
        <v>0</v>
      </c>
      <c r="S23" s="149" t="s">
        <v>149</v>
      </c>
      <c r="T23" s="170"/>
      <c r="U23" s="170"/>
      <c r="V23" s="171"/>
      <c r="Z23" s="25">
        <v>8.625</v>
      </c>
      <c r="AA23" s="14">
        <f t="shared" si="11"/>
        <v>0.82300000000000006</v>
      </c>
      <c r="AB23" s="14">
        <f t="shared" si="12"/>
        <v>0.82300000000000006</v>
      </c>
      <c r="AC23" s="68"/>
      <c r="AD23" s="25">
        <f t="shared" si="4"/>
        <v>8.625</v>
      </c>
      <c r="AE23" s="14">
        <f t="shared" si="13"/>
        <v>0.82300000000000006</v>
      </c>
      <c r="AF23" s="14">
        <f t="shared" si="14"/>
        <v>0.82300000000000006</v>
      </c>
      <c r="AH23" s="25">
        <v>8.625</v>
      </c>
      <c r="AI23" s="14">
        <f t="shared" si="15"/>
        <v>0.57300000000000006</v>
      </c>
      <c r="AJ23" s="14">
        <f t="shared" si="16"/>
        <v>0.57300000000000006</v>
      </c>
      <c r="AK23" s="731"/>
      <c r="AL23" s="68"/>
      <c r="AN23" s="821" t="s">
        <v>99</v>
      </c>
      <c r="AO23" s="815">
        <v>0.5</v>
      </c>
      <c r="AP23" s="816">
        <v>104</v>
      </c>
      <c r="AR23" s="68">
        <f t="shared" si="5"/>
        <v>10.875</v>
      </c>
      <c r="AS23">
        <f t="shared" si="0"/>
        <v>2.7250000000000001</v>
      </c>
      <c r="AT23">
        <f t="shared" si="0"/>
        <v>2.7250000000000001</v>
      </c>
      <c r="AU23">
        <f t="shared" si="0"/>
        <v>2.7250000000000001</v>
      </c>
      <c r="AV23">
        <f t="shared" si="1"/>
        <v>2.7250000000000001</v>
      </c>
      <c r="AW23">
        <f t="shared" si="1"/>
        <v>2.7250000000000001</v>
      </c>
      <c r="BA23" s="127"/>
      <c r="BJ23" s="25">
        <f t="shared" si="17"/>
        <v>9.875</v>
      </c>
      <c r="BK23" s="14">
        <f t="shared" si="18"/>
        <v>2.625</v>
      </c>
      <c r="BL23" s="14"/>
      <c r="BN23" s="25">
        <f t="shared" si="19"/>
        <v>10.875</v>
      </c>
      <c r="BO23" s="14">
        <f t="shared" si="20"/>
        <v>2.625</v>
      </c>
      <c r="BP23" s="14"/>
      <c r="BR23" s="25">
        <v>9.875</v>
      </c>
      <c r="BS23" s="14">
        <f t="shared" si="21"/>
        <v>2.2749999999999999</v>
      </c>
      <c r="BT23" s="14"/>
      <c r="BU23" s="60"/>
      <c r="BV23" s="60">
        <v>2.875</v>
      </c>
      <c r="BW23" s="68">
        <f t="shared" si="28"/>
        <v>2.9</v>
      </c>
      <c r="BX23" s="68">
        <f t="shared" si="22"/>
        <v>2.9</v>
      </c>
      <c r="BY23" s="68">
        <f t="shared" si="23"/>
        <v>2.9</v>
      </c>
      <c r="BZ23" s="68">
        <f t="shared" si="24"/>
        <v>2.9</v>
      </c>
      <c r="CF23">
        <v>8.5</v>
      </c>
      <c r="CG23">
        <v>110.30200000000001</v>
      </c>
      <c r="CH23">
        <v>110.202</v>
      </c>
      <c r="CI23">
        <v>110.202</v>
      </c>
      <c r="CJ23" s="68">
        <f t="shared" si="25"/>
        <v>2.95</v>
      </c>
      <c r="CM23">
        <v>8.9980000000000011</v>
      </c>
      <c r="CO23">
        <v>106.25</v>
      </c>
      <c r="CP23">
        <f t="shared" si="6"/>
        <v>2.6749999999999998</v>
      </c>
      <c r="CU23" s="1007"/>
      <c r="CV23" s="68"/>
      <c r="CW23" s="68"/>
    </row>
    <row r="24" spans="1:101">
      <c r="A24" s="68">
        <v>8.375</v>
      </c>
      <c r="C24" s="1365">
        <f t="shared" si="26"/>
        <v>1.2637500000000061</v>
      </c>
      <c r="D24" s="1365">
        <f t="shared" si="7"/>
        <v>1.2637500000000061</v>
      </c>
      <c r="F24" s="1365">
        <f t="shared" si="8"/>
        <v>1.2637500000000061</v>
      </c>
      <c r="G24" s="1384">
        <v>-0.71125000000004701</v>
      </c>
      <c r="H24" s="1417">
        <v>1.6250000000000533</v>
      </c>
      <c r="I24" s="1365"/>
      <c r="J24" s="1365">
        <v>8.375</v>
      </c>
      <c r="K24" s="1378"/>
      <c r="L24" s="1365">
        <f t="shared" si="27"/>
        <v>3.3</v>
      </c>
      <c r="M24" s="1365">
        <f t="shared" si="9"/>
        <v>3.3</v>
      </c>
      <c r="N24" s="1365"/>
      <c r="O24" s="1365">
        <f t="shared" si="10"/>
        <v>3.3</v>
      </c>
      <c r="P24" s="1384">
        <v>3</v>
      </c>
      <c r="Q24" s="1385">
        <v>0</v>
      </c>
      <c r="S24" s="149" t="s">
        <v>150</v>
      </c>
      <c r="T24" s="170"/>
      <c r="U24" s="170"/>
      <c r="V24" s="171"/>
      <c r="Z24" s="25">
        <v>8.75</v>
      </c>
      <c r="AA24" s="14">
        <f t="shared" si="11"/>
        <v>0.82300000000000006</v>
      </c>
      <c r="AB24" s="14">
        <f t="shared" si="12"/>
        <v>0.82300000000000006</v>
      </c>
      <c r="AC24" s="68"/>
      <c r="AD24" s="25">
        <f t="shared" si="4"/>
        <v>8.75</v>
      </c>
      <c r="AE24" s="14">
        <f t="shared" si="13"/>
        <v>0.82300000000000006</v>
      </c>
      <c r="AF24" s="14">
        <f t="shared" si="14"/>
        <v>0.82300000000000006</v>
      </c>
      <c r="AH24" s="25">
        <v>8.75</v>
      </c>
      <c r="AI24" s="14">
        <f t="shared" si="15"/>
        <v>0.57300000000000006</v>
      </c>
      <c r="AJ24" s="14">
        <f t="shared" si="16"/>
        <v>0.57300000000000006</v>
      </c>
      <c r="AK24" s="731"/>
      <c r="AL24" s="68"/>
      <c r="AM24" t="s">
        <v>464</v>
      </c>
      <c r="AN24">
        <v>-1.25</v>
      </c>
      <c r="AR24" s="68">
        <f t="shared" si="5"/>
        <v>11</v>
      </c>
      <c r="AS24">
        <f t="shared" si="0"/>
        <v>2.7250000000000001</v>
      </c>
      <c r="AT24">
        <f t="shared" si="0"/>
        <v>2.7250000000000001</v>
      </c>
      <c r="AU24">
        <f t="shared" si="0"/>
        <v>2.7250000000000001</v>
      </c>
      <c r="AV24">
        <f t="shared" si="1"/>
        <v>2.7250000000000001</v>
      </c>
      <c r="AW24">
        <f t="shared" si="1"/>
        <v>2.7250000000000001</v>
      </c>
      <c r="BA24" s="127"/>
      <c r="BJ24" s="25">
        <f t="shared" si="17"/>
        <v>9.75</v>
      </c>
      <c r="BK24" s="14">
        <f t="shared" si="18"/>
        <v>2.625</v>
      </c>
      <c r="BL24" s="14"/>
      <c r="BN24" s="25">
        <f t="shared" si="19"/>
        <v>10.75</v>
      </c>
      <c r="BO24" s="14">
        <f t="shared" si="20"/>
        <v>2.625</v>
      </c>
      <c r="BP24" s="14"/>
      <c r="BR24" s="25">
        <v>10</v>
      </c>
      <c r="BS24" s="14">
        <f t="shared" si="21"/>
        <v>2.2749999999999999</v>
      </c>
      <c r="BT24" s="14"/>
      <c r="BU24" s="60"/>
      <c r="BV24" s="60">
        <v>3</v>
      </c>
      <c r="BW24" s="68">
        <f t="shared" si="28"/>
        <v>2.9</v>
      </c>
      <c r="BX24" s="68">
        <f t="shared" si="22"/>
        <v>2.9</v>
      </c>
      <c r="BY24" s="68">
        <f t="shared" si="23"/>
        <v>2.9</v>
      </c>
      <c r="BZ24" s="68">
        <f t="shared" si="24"/>
        <v>2.9</v>
      </c>
      <c r="CF24">
        <v>8.625</v>
      </c>
      <c r="CG24">
        <v>110.67700000000001</v>
      </c>
      <c r="CH24">
        <v>110.577</v>
      </c>
      <c r="CI24">
        <v>110.577</v>
      </c>
      <c r="CJ24" s="68">
        <f t="shared" si="25"/>
        <v>2.95</v>
      </c>
      <c r="CM24">
        <v>9.1240000000000006</v>
      </c>
      <c r="CO24">
        <v>106.5</v>
      </c>
      <c r="CP24">
        <f t="shared" si="6"/>
        <v>2.6749999999999998</v>
      </c>
      <c r="CU24" s="1007"/>
      <c r="CV24" s="68"/>
      <c r="CW24" s="68"/>
    </row>
    <row r="25" spans="1:101">
      <c r="A25" s="68">
        <v>8.5</v>
      </c>
      <c r="C25" s="1365">
        <f t="shared" si="26"/>
        <v>1.2637500000000066</v>
      </c>
      <c r="D25" s="1365">
        <f t="shared" si="7"/>
        <v>1.2637500000000066</v>
      </c>
      <c r="F25" s="1365">
        <f t="shared" si="8"/>
        <v>1.2637500000000066</v>
      </c>
      <c r="G25" s="1384">
        <v>-0.71125000000004657</v>
      </c>
      <c r="H25" s="1417">
        <v>1.6250000000000533</v>
      </c>
      <c r="I25" s="1365"/>
      <c r="J25" s="1365">
        <v>8.5</v>
      </c>
      <c r="K25" s="1378"/>
      <c r="L25" s="1365">
        <f t="shared" si="27"/>
        <v>3.3</v>
      </c>
      <c r="M25" s="1365">
        <f t="shared" si="9"/>
        <v>3.3</v>
      </c>
      <c r="N25" s="1365"/>
      <c r="O25" s="1365">
        <f t="shared" si="10"/>
        <v>3.3</v>
      </c>
      <c r="P25" s="1384">
        <v>3</v>
      </c>
      <c r="Q25" s="1385">
        <v>0</v>
      </c>
      <c r="S25" s="149" t="s">
        <v>151</v>
      </c>
      <c r="T25" s="170"/>
      <c r="U25" s="170"/>
      <c r="V25" s="171"/>
      <c r="Z25" s="25">
        <v>8.875</v>
      </c>
      <c r="AA25" s="14">
        <f t="shared" si="11"/>
        <v>0.82300000000000006</v>
      </c>
      <c r="AB25" s="14">
        <f t="shared" si="12"/>
        <v>0.82300000000000006</v>
      </c>
      <c r="AC25" s="68"/>
      <c r="AD25" s="25">
        <f t="shared" si="4"/>
        <v>8.875</v>
      </c>
      <c r="AE25" s="14">
        <f t="shared" si="13"/>
        <v>0.82300000000000006</v>
      </c>
      <c r="AF25" s="14">
        <f t="shared" si="14"/>
        <v>0.82300000000000006</v>
      </c>
      <c r="AH25" s="25">
        <v>8.875</v>
      </c>
      <c r="AI25" s="14">
        <f t="shared" si="15"/>
        <v>0.57300000000000006</v>
      </c>
      <c r="AJ25" s="14">
        <f t="shared" si="16"/>
        <v>0.57300000000000006</v>
      </c>
      <c r="AK25" s="731"/>
      <c r="AL25" s="68"/>
      <c r="AM25" t="s">
        <v>34</v>
      </c>
      <c r="AN25">
        <v>-1.75</v>
      </c>
      <c r="AR25" s="68">
        <f t="shared" si="5"/>
        <v>11.125</v>
      </c>
      <c r="AS25">
        <f t="shared" si="0"/>
        <v>2.7250000000000001</v>
      </c>
      <c r="AT25">
        <f t="shared" si="0"/>
        <v>2.7250000000000001</v>
      </c>
      <c r="AU25">
        <f t="shared" si="0"/>
        <v>2.7250000000000001</v>
      </c>
      <c r="AV25">
        <f t="shared" si="1"/>
        <v>2.7250000000000001</v>
      </c>
      <c r="AW25">
        <f t="shared" si="1"/>
        <v>2.7250000000000001</v>
      </c>
      <c r="BA25" s="127"/>
      <c r="BJ25" s="25">
        <f t="shared" si="17"/>
        <v>9.625</v>
      </c>
      <c r="BK25" s="14">
        <f t="shared" si="18"/>
        <v>2.625</v>
      </c>
      <c r="BL25" s="14"/>
      <c r="BN25" s="25">
        <f t="shared" si="19"/>
        <v>10.625</v>
      </c>
      <c r="BO25" s="14">
        <f t="shared" si="20"/>
        <v>2.625</v>
      </c>
      <c r="BP25" s="14"/>
      <c r="BR25" s="25">
        <v>10.125</v>
      </c>
      <c r="BS25" s="14">
        <f t="shared" si="21"/>
        <v>2.2749999999999999</v>
      </c>
      <c r="BT25" s="14"/>
      <c r="BU25" s="60"/>
      <c r="BV25" s="60">
        <v>3.125</v>
      </c>
      <c r="BW25" s="68">
        <f t="shared" si="28"/>
        <v>2.9</v>
      </c>
      <c r="BX25" s="68">
        <f t="shared" si="22"/>
        <v>2.9</v>
      </c>
      <c r="BY25" s="68">
        <f t="shared" si="23"/>
        <v>2.9</v>
      </c>
      <c r="BZ25" s="68">
        <f t="shared" si="24"/>
        <v>2.9</v>
      </c>
      <c r="CF25">
        <v>8.75</v>
      </c>
      <c r="CG25">
        <v>111.05200000000001</v>
      </c>
      <c r="CH25">
        <v>110.952</v>
      </c>
      <c r="CI25">
        <v>110.952</v>
      </c>
      <c r="CJ25" s="68">
        <f t="shared" si="25"/>
        <v>2.95</v>
      </c>
      <c r="CM25">
        <v>9.2490000000000006</v>
      </c>
      <c r="CO25">
        <v>106.75</v>
      </c>
      <c r="CP25">
        <f>CP24</f>
        <v>2.6749999999999998</v>
      </c>
      <c r="CU25" s="1007"/>
      <c r="CV25" s="68"/>
      <c r="CW25" s="68"/>
    </row>
    <row r="26" spans="1:101">
      <c r="A26" s="68">
        <v>8.625</v>
      </c>
      <c r="C26" s="1365">
        <f t="shared" si="26"/>
        <v>1.3887500000000066</v>
      </c>
      <c r="D26" s="1365">
        <f t="shared" si="7"/>
        <v>1.3887500000000066</v>
      </c>
      <c r="F26" s="1365">
        <f t="shared" si="8"/>
        <v>1.3887500000000066</v>
      </c>
      <c r="G26" s="1384">
        <v>-0.71125000000004657</v>
      </c>
      <c r="H26" s="1417">
        <v>1.7500000000000533</v>
      </c>
      <c r="I26" s="1365"/>
      <c r="J26" s="1365">
        <v>8.625</v>
      </c>
      <c r="K26" s="1378"/>
      <c r="L26" s="1365">
        <f t="shared" si="27"/>
        <v>3.3</v>
      </c>
      <c r="M26" s="1365">
        <f t="shared" si="9"/>
        <v>3.3</v>
      </c>
      <c r="N26" s="1365"/>
      <c r="O26" s="1365">
        <f t="shared" si="10"/>
        <v>3.3</v>
      </c>
      <c r="P26" s="1384">
        <v>3</v>
      </c>
      <c r="Q26" s="1385">
        <v>0</v>
      </c>
      <c r="S26" s="149" t="s">
        <v>152</v>
      </c>
      <c r="T26" s="170"/>
      <c r="U26" s="170"/>
      <c r="V26" s="171"/>
      <c r="Z26" s="25">
        <v>9</v>
      </c>
      <c r="AA26" s="14">
        <f t="shared" si="11"/>
        <v>0.82300000000000006</v>
      </c>
      <c r="AB26" s="14">
        <f t="shared" si="12"/>
        <v>0.82300000000000006</v>
      </c>
      <c r="AC26" s="68"/>
      <c r="AD26" s="25">
        <f t="shared" si="4"/>
        <v>9</v>
      </c>
      <c r="AE26" s="14">
        <f t="shared" si="13"/>
        <v>0.82300000000000006</v>
      </c>
      <c r="AF26" s="14">
        <f t="shared" si="14"/>
        <v>0.82300000000000006</v>
      </c>
      <c r="AH26" s="25">
        <v>9</v>
      </c>
      <c r="AI26" s="14">
        <f t="shared" si="15"/>
        <v>0.57300000000000006</v>
      </c>
      <c r="AJ26" s="14">
        <f t="shared" si="16"/>
        <v>0.57300000000000006</v>
      </c>
      <c r="AK26" s="731"/>
      <c r="AL26" s="68"/>
      <c r="AM26" t="s">
        <v>34</v>
      </c>
      <c r="AN26">
        <v>-1.75</v>
      </c>
      <c r="AR26" s="68">
        <f t="shared" si="5"/>
        <v>11.25</v>
      </c>
      <c r="AS26">
        <f t="shared" si="0"/>
        <v>2.7250000000000001</v>
      </c>
      <c r="AT26">
        <f t="shared" si="0"/>
        <v>2.7250000000000001</v>
      </c>
      <c r="AU26">
        <f t="shared" si="0"/>
        <v>2.7250000000000001</v>
      </c>
      <c r="AV26">
        <f t="shared" si="1"/>
        <v>2.7250000000000001</v>
      </c>
      <c r="AW26">
        <f t="shared" si="1"/>
        <v>2.7250000000000001</v>
      </c>
      <c r="BA26" s="127"/>
      <c r="BJ26" s="25">
        <f t="shared" si="17"/>
        <v>9.5</v>
      </c>
      <c r="BK26" s="14">
        <f t="shared" si="18"/>
        <v>2.625</v>
      </c>
      <c r="BL26" s="14"/>
      <c r="BN26" s="25">
        <f t="shared" si="19"/>
        <v>10.5</v>
      </c>
      <c r="BO26" s="14">
        <f t="shared" si="20"/>
        <v>2.625</v>
      </c>
      <c r="BP26" s="14"/>
      <c r="BR26" s="25">
        <v>10.25</v>
      </c>
      <c r="BS26" s="14">
        <f t="shared" si="21"/>
        <v>2.2749999999999999</v>
      </c>
      <c r="BT26" s="14"/>
      <c r="BU26" s="60"/>
      <c r="BV26" s="60">
        <v>3.25</v>
      </c>
      <c r="BW26" s="68">
        <f t="shared" si="28"/>
        <v>2.9</v>
      </c>
      <c r="BX26" s="68">
        <f t="shared" si="22"/>
        <v>2.9</v>
      </c>
      <c r="BY26" s="68">
        <f t="shared" si="23"/>
        <v>2.9</v>
      </c>
      <c r="BZ26" s="68">
        <f t="shared" si="24"/>
        <v>2.9</v>
      </c>
      <c r="CF26">
        <v>8.875</v>
      </c>
      <c r="CG26">
        <v>111.36499999999999</v>
      </c>
      <c r="CH26">
        <v>111.265</v>
      </c>
      <c r="CI26">
        <v>111.265</v>
      </c>
      <c r="CJ26" s="68">
        <f t="shared" si="25"/>
        <v>2.95</v>
      </c>
      <c r="CM26">
        <v>9.3740000000000006</v>
      </c>
      <c r="CO26">
        <v>107</v>
      </c>
      <c r="CP26">
        <f t="shared" si="6"/>
        <v>2.6749999999999998</v>
      </c>
      <c r="CU26" s="1007"/>
      <c r="CV26" s="68"/>
      <c r="CW26" s="68"/>
    </row>
    <row r="27" spans="1:101">
      <c r="A27" s="68">
        <v>8.75</v>
      </c>
      <c r="C27" s="1365">
        <f t="shared" si="26"/>
        <v>1.5137500000000066</v>
      </c>
      <c r="D27" s="1365">
        <f t="shared" si="7"/>
        <v>1.5137500000000066</v>
      </c>
      <c r="F27" s="1365">
        <f t="shared" si="8"/>
        <v>1.5137500000000066</v>
      </c>
      <c r="G27" s="1384">
        <v>-0.58625000000004657</v>
      </c>
      <c r="H27" s="1417">
        <v>1.7500000000000533</v>
      </c>
      <c r="I27" s="1365"/>
      <c r="J27" s="1365">
        <v>8.75</v>
      </c>
      <c r="K27" s="1378"/>
      <c r="L27" s="1365">
        <f t="shared" si="27"/>
        <v>3.3</v>
      </c>
      <c r="M27" s="1365">
        <f t="shared" si="9"/>
        <v>3.3</v>
      </c>
      <c r="N27" s="1365"/>
      <c r="O27" s="1365">
        <f t="shared" si="10"/>
        <v>3.3</v>
      </c>
      <c r="P27" s="1384">
        <v>3</v>
      </c>
      <c r="Q27" s="1385">
        <v>0</v>
      </c>
      <c r="S27" s="149" t="s">
        <v>238</v>
      </c>
      <c r="T27" s="170"/>
      <c r="U27" s="170"/>
      <c r="V27" s="171"/>
      <c r="Z27" s="25">
        <v>9.125</v>
      </c>
      <c r="AA27" s="14">
        <f t="shared" si="11"/>
        <v>0.82300000000000006</v>
      </c>
      <c r="AB27" s="14">
        <f t="shared" si="12"/>
        <v>0.82300000000000006</v>
      </c>
      <c r="AC27" s="68"/>
      <c r="AD27" s="25">
        <f t="shared" si="4"/>
        <v>9.125</v>
      </c>
      <c r="AE27" s="14">
        <f t="shared" si="13"/>
        <v>0.82300000000000006</v>
      </c>
      <c r="AF27" s="14">
        <f t="shared" si="14"/>
        <v>0.82300000000000006</v>
      </c>
      <c r="AH27" s="25">
        <v>9.125</v>
      </c>
      <c r="AI27" s="14">
        <f t="shared" si="15"/>
        <v>0.57300000000000006</v>
      </c>
      <c r="AJ27" s="14">
        <f t="shared" si="16"/>
        <v>0.57300000000000006</v>
      </c>
      <c r="AK27" s="731"/>
      <c r="AL27" s="68"/>
      <c r="AP27" s="68">
        <f>AP19-1.25</f>
        <v>100.5</v>
      </c>
      <c r="AR27" s="68">
        <f t="shared" si="5"/>
        <v>11.375</v>
      </c>
      <c r="AS27">
        <f t="shared" si="0"/>
        <v>2.7250000000000001</v>
      </c>
      <c r="AT27">
        <f t="shared" si="0"/>
        <v>2.7250000000000001</v>
      </c>
      <c r="AU27">
        <f t="shared" si="0"/>
        <v>2.7250000000000001</v>
      </c>
      <c r="AV27">
        <f t="shared" si="1"/>
        <v>2.7250000000000001</v>
      </c>
      <c r="AW27">
        <f t="shared" si="1"/>
        <v>2.7250000000000001</v>
      </c>
      <c r="BA27" s="127"/>
      <c r="BJ27" s="25">
        <f t="shared" si="17"/>
        <v>9.375</v>
      </c>
      <c r="BK27" s="14">
        <f t="shared" si="18"/>
        <v>2.625</v>
      </c>
      <c r="BL27" s="14"/>
      <c r="BN27" s="25">
        <f t="shared" si="19"/>
        <v>10.375</v>
      </c>
      <c r="BO27" s="14">
        <f t="shared" si="20"/>
        <v>2.625</v>
      </c>
      <c r="BP27" s="14"/>
      <c r="BR27" s="25">
        <v>10.375</v>
      </c>
      <c r="BS27" s="14">
        <f t="shared" si="21"/>
        <v>2.2749999999999999</v>
      </c>
      <c r="BT27" s="14"/>
      <c r="BU27" s="60"/>
      <c r="BV27" s="60">
        <v>3.375</v>
      </c>
      <c r="BW27" s="68">
        <f t="shared" si="28"/>
        <v>2.9</v>
      </c>
      <c r="BX27" s="68">
        <f t="shared" si="22"/>
        <v>2.9</v>
      </c>
      <c r="BY27" s="68">
        <f t="shared" si="23"/>
        <v>2.9</v>
      </c>
      <c r="BZ27" s="68">
        <f t="shared" si="24"/>
        <v>2.9</v>
      </c>
      <c r="CF27">
        <v>9</v>
      </c>
      <c r="CG27">
        <v>111.61499999999999</v>
      </c>
      <c r="CH27">
        <v>111.515</v>
      </c>
      <c r="CI27">
        <v>111.515</v>
      </c>
      <c r="CJ27" s="68">
        <f t="shared" si="25"/>
        <v>2.95</v>
      </c>
      <c r="CM27">
        <v>9.4990000000000006</v>
      </c>
      <c r="CO27">
        <v>107.25</v>
      </c>
      <c r="CP27">
        <f t="shared" si="6"/>
        <v>2.6749999999999998</v>
      </c>
      <c r="CU27" s="1007"/>
      <c r="CV27" s="68"/>
      <c r="CW27" s="68"/>
    </row>
    <row r="28" spans="1:101">
      <c r="A28" s="68">
        <v>8.875</v>
      </c>
      <c r="C28" s="1365">
        <f t="shared" si="26"/>
        <v>1.576750000000009</v>
      </c>
      <c r="D28" s="1365">
        <f t="shared" si="7"/>
        <v>1.576750000000009</v>
      </c>
      <c r="F28" s="1365">
        <f t="shared" si="8"/>
        <v>1.576750000000009</v>
      </c>
      <c r="G28" s="1384">
        <v>-0.46125000000004657</v>
      </c>
      <c r="H28" s="1417">
        <v>1.6880000000000557</v>
      </c>
      <c r="I28" s="1365"/>
      <c r="J28" s="1365">
        <v>8.875</v>
      </c>
      <c r="K28" s="1378"/>
      <c r="L28" s="1365">
        <f t="shared" si="27"/>
        <v>3.3</v>
      </c>
      <c r="M28" s="1365">
        <f t="shared" si="9"/>
        <v>3.3</v>
      </c>
      <c r="N28" s="1365"/>
      <c r="O28" s="1365">
        <f t="shared" si="10"/>
        <v>3.3</v>
      </c>
      <c r="P28" s="1384">
        <v>3</v>
      </c>
      <c r="Q28" s="1385">
        <v>0</v>
      </c>
      <c r="S28" s="172" t="s">
        <v>239</v>
      </c>
      <c r="T28" s="170"/>
      <c r="U28" s="170"/>
      <c r="V28" s="171"/>
      <c r="Z28" s="25">
        <v>9.25</v>
      </c>
      <c r="AA28" s="14">
        <f t="shared" si="11"/>
        <v>0.82300000000000006</v>
      </c>
      <c r="AB28" s="14">
        <f t="shared" si="12"/>
        <v>0.82300000000000006</v>
      </c>
      <c r="AD28" s="25">
        <f t="shared" si="4"/>
        <v>9.25</v>
      </c>
      <c r="AE28" s="14">
        <f t="shared" si="13"/>
        <v>0.82300000000000006</v>
      </c>
      <c r="AF28" s="14">
        <f t="shared" si="14"/>
        <v>0.82300000000000006</v>
      </c>
      <c r="AH28" s="25">
        <v>9.25</v>
      </c>
      <c r="AI28" s="14">
        <f t="shared" si="15"/>
        <v>0.57300000000000006</v>
      </c>
      <c r="AJ28" s="14">
        <f t="shared" si="16"/>
        <v>0.57300000000000006</v>
      </c>
      <c r="AP28" s="68">
        <f>AP18-1.25</f>
        <v>99.5</v>
      </c>
      <c r="AR28" s="68">
        <f t="shared" si="5"/>
        <v>11.5</v>
      </c>
      <c r="AS28">
        <f t="shared" si="0"/>
        <v>2.7250000000000001</v>
      </c>
      <c r="AT28">
        <f t="shared" si="0"/>
        <v>2.7250000000000001</v>
      </c>
      <c r="AU28">
        <f t="shared" si="0"/>
        <v>2.7250000000000001</v>
      </c>
      <c r="AV28">
        <f t="shared" si="1"/>
        <v>2.7250000000000001</v>
      </c>
      <c r="AW28">
        <f t="shared" si="1"/>
        <v>2.7250000000000001</v>
      </c>
      <c r="BA28" s="127"/>
      <c r="BJ28" s="25">
        <f t="shared" si="17"/>
        <v>9.25</v>
      </c>
      <c r="BK28" s="14">
        <f t="shared" si="18"/>
        <v>2.625</v>
      </c>
      <c r="BL28" s="14"/>
      <c r="BN28" s="25">
        <f t="shared" si="19"/>
        <v>10.25</v>
      </c>
      <c r="BO28" s="14">
        <f t="shared" si="20"/>
        <v>2.625</v>
      </c>
      <c r="BP28" s="14"/>
      <c r="BR28" s="25">
        <v>10.5</v>
      </c>
      <c r="BS28" s="14">
        <f t="shared" si="21"/>
        <v>2.2749999999999999</v>
      </c>
      <c r="BV28" s="60">
        <v>3.5</v>
      </c>
      <c r="BW28" s="68">
        <f t="shared" si="28"/>
        <v>2.9</v>
      </c>
      <c r="BX28" s="68">
        <f t="shared" si="22"/>
        <v>2.9</v>
      </c>
      <c r="BY28" s="68">
        <f t="shared" si="23"/>
        <v>2.9</v>
      </c>
      <c r="BZ28" s="68">
        <f t="shared" si="24"/>
        <v>2.9</v>
      </c>
      <c r="CF28">
        <v>9.125</v>
      </c>
      <c r="CG28">
        <v>111.86499999999999</v>
      </c>
      <c r="CH28">
        <v>111.765</v>
      </c>
      <c r="CI28">
        <v>111.765</v>
      </c>
      <c r="CJ28" s="68">
        <f t="shared" si="25"/>
        <v>2.95</v>
      </c>
      <c r="CM28">
        <v>9.6240000000000006</v>
      </c>
      <c r="CO28">
        <v>107.5</v>
      </c>
      <c r="CP28">
        <f t="shared" si="6"/>
        <v>2.6749999999999998</v>
      </c>
      <c r="CU28" s="1007"/>
      <c r="CV28" s="68"/>
      <c r="CW28" s="68"/>
    </row>
    <row r="29" spans="1:101">
      <c r="A29" s="68">
        <v>9</v>
      </c>
      <c r="C29" s="1365">
        <f t="shared" si="26"/>
        <v>1.5767500000000094</v>
      </c>
      <c r="D29" s="1365">
        <f t="shared" si="7"/>
        <v>1.5767500000000094</v>
      </c>
      <c r="F29" s="1365">
        <f t="shared" si="8"/>
        <v>1.5767500000000094</v>
      </c>
      <c r="G29" s="1384">
        <v>-0.33625000000004635</v>
      </c>
      <c r="H29" s="1417">
        <v>1.5630000000000557</v>
      </c>
      <c r="I29" s="1365"/>
      <c r="J29" s="1365">
        <v>9</v>
      </c>
      <c r="K29" s="1378"/>
      <c r="L29" s="1365">
        <f t="shared" si="27"/>
        <v>3.3</v>
      </c>
      <c r="M29" s="1365">
        <f t="shared" si="9"/>
        <v>3.3</v>
      </c>
      <c r="N29" s="1365"/>
      <c r="O29" s="1365">
        <f t="shared" si="10"/>
        <v>3.3</v>
      </c>
      <c r="P29" s="1384">
        <v>3</v>
      </c>
      <c r="Q29" s="1385">
        <v>0</v>
      </c>
      <c r="S29" s="149" t="s">
        <v>240</v>
      </c>
      <c r="T29" s="170"/>
      <c r="U29" s="170"/>
      <c r="V29" s="171"/>
      <c r="Z29" s="25"/>
      <c r="AA29" s="14"/>
      <c r="AB29" s="14"/>
      <c r="AD29" s="25"/>
      <c r="AE29" s="14"/>
      <c r="AF29" s="14"/>
      <c r="AR29" s="68">
        <f t="shared" si="5"/>
        <v>11.625</v>
      </c>
      <c r="AS29">
        <f t="shared" si="0"/>
        <v>2.7250000000000001</v>
      </c>
      <c r="AT29">
        <f t="shared" si="0"/>
        <v>2.7250000000000001</v>
      </c>
      <c r="AU29">
        <f t="shared" si="0"/>
        <v>2.7250000000000001</v>
      </c>
      <c r="AV29">
        <f t="shared" si="1"/>
        <v>2.7250000000000001</v>
      </c>
      <c r="AW29">
        <f t="shared" si="1"/>
        <v>2.7250000000000001</v>
      </c>
      <c r="BA29" s="127"/>
      <c r="BJ29" s="25">
        <f t="shared" si="17"/>
        <v>9.125</v>
      </c>
      <c r="BK29" s="14">
        <f t="shared" si="18"/>
        <v>2.625</v>
      </c>
      <c r="BL29" s="14"/>
      <c r="BN29" s="25">
        <f t="shared" si="19"/>
        <v>10.125</v>
      </c>
      <c r="BO29" s="14">
        <f t="shared" si="20"/>
        <v>2.625</v>
      </c>
      <c r="BP29" s="14"/>
      <c r="BR29" s="25">
        <v>10.625</v>
      </c>
      <c r="BS29" s="14">
        <f t="shared" si="21"/>
        <v>2.2749999999999999</v>
      </c>
      <c r="BV29" s="60">
        <v>3.625</v>
      </c>
      <c r="BW29" s="68">
        <f t="shared" si="28"/>
        <v>2.9</v>
      </c>
      <c r="BX29" s="68">
        <f t="shared" si="22"/>
        <v>2.9</v>
      </c>
      <c r="BY29" s="68">
        <f t="shared" si="23"/>
        <v>2.9</v>
      </c>
      <c r="BZ29" s="68">
        <f t="shared" si="24"/>
        <v>2.9</v>
      </c>
      <c r="CF29">
        <v>9.25</v>
      </c>
      <c r="CG29">
        <v>112.11499999999999</v>
      </c>
      <c r="CH29">
        <v>112.015</v>
      </c>
      <c r="CI29">
        <v>112.015</v>
      </c>
      <c r="CJ29" s="68">
        <f t="shared" si="25"/>
        <v>2.95</v>
      </c>
      <c r="CM29">
        <v>9.7490000000000006</v>
      </c>
      <c r="CO29">
        <v>107.75</v>
      </c>
      <c r="CP29">
        <f t="shared" si="6"/>
        <v>2.6749999999999998</v>
      </c>
      <c r="CU29" s="1007"/>
      <c r="CV29" s="68"/>
      <c r="CW29" s="68"/>
    </row>
    <row r="30" spans="1:101">
      <c r="A30" s="68">
        <v>9.125</v>
      </c>
      <c r="C30" s="1365">
        <f t="shared" si="26"/>
        <v>1.5767500000000094</v>
      </c>
      <c r="D30" s="1365">
        <f t="shared" si="7"/>
        <v>1.5767500000000094</v>
      </c>
      <c r="F30" s="1365">
        <f t="shared" si="8"/>
        <v>1.5767500000000094</v>
      </c>
      <c r="G30" s="1384">
        <v>-0.27325000000004401</v>
      </c>
      <c r="H30" s="1417">
        <v>1.5000000000000533</v>
      </c>
      <c r="I30" s="1365"/>
      <c r="J30" s="1365">
        <v>9.125</v>
      </c>
      <c r="K30" s="1378"/>
      <c r="L30" s="1365">
        <f t="shared" si="27"/>
        <v>3.3</v>
      </c>
      <c r="M30" s="1365">
        <f t="shared" si="9"/>
        <v>3.3</v>
      </c>
      <c r="N30" s="1365"/>
      <c r="O30" s="1365">
        <f t="shared" si="10"/>
        <v>3.3</v>
      </c>
      <c r="P30" s="1384">
        <v>3</v>
      </c>
      <c r="Q30" s="1385">
        <v>0</v>
      </c>
      <c r="S30" s="149" t="s">
        <v>241</v>
      </c>
      <c r="T30" s="170"/>
      <c r="U30" s="170"/>
      <c r="V30" s="171"/>
      <c r="Z30" s="25"/>
      <c r="AA30" s="14"/>
      <c r="AB30" s="14">
        <f>96.535-0.15</f>
        <v>96.384999999999991</v>
      </c>
      <c r="AD30" s="25"/>
      <c r="AE30" s="14"/>
      <c r="AF30" s="14"/>
      <c r="AR30" s="68">
        <f t="shared" si="5"/>
        <v>11.75</v>
      </c>
      <c r="AS30">
        <f t="shared" si="0"/>
        <v>2.7250000000000001</v>
      </c>
      <c r="AT30">
        <f t="shared" si="0"/>
        <v>2.7250000000000001</v>
      </c>
      <c r="AU30">
        <f t="shared" si="0"/>
        <v>2.7250000000000001</v>
      </c>
      <c r="AV30">
        <f t="shared" si="1"/>
        <v>2.7250000000000001</v>
      </c>
      <c r="AW30">
        <f t="shared" si="1"/>
        <v>2.7250000000000001</v>
      </c>
      <c r="BA30" s="127"/>
      <c r="BJ30" s="25">
        <f t="shared" si="17"/>
        <v>9</v>
      </c>
      <c r="BK30" s="14">
        <f t="shared" si="18"/>
        <v>2.625</v>
      </c>
      <c r="BL30" s="14"/>
      <c r="BN30" s="25">
        <f t="shared" si="19"/>
        <v>10</v>
      </c>
      <c r="BO30" s="14">
        <f t="shared" si="20"/>
        <v>2.625</v>
      </c>
      <c r="BP30" s="14"/>
      <c r="BR30" s="25">
        <v>10.75</v>
      </c>
      <c r="BS30" s="14">
        <f t="shared" si="21"/>
        <v>2.2749999999999999</v>
      </c>
      <c r="BV30" s="60">
        <v>3.75</v>
      </c>
      <c r="BW30" s="68">
        <f t="shared" si="28"/>
        <v>2.9</v>
      </c>
      <c r="BX30" s="68">
        <f t="shared" si="22"/>
        <v>2.9</v>
      </c>
      <c r="BY30" s="68">
        <f t="shared" si="23"/>
        <v>2.9</v>
      </c>
      <c r="BZ30" s="68">
        <f t="shared" si="24"/>
        <v>2.9</v>
      </c>
      <c r="CF30">
        <v>9.375</v>
      </c>
      <c r="CG30">
        <v>112.36499999999999</v>
      </c>
      <c r="CH30">
        <v>112.265</v>
      </c>
      <c r="CI30">
        <v>112.265</v>
      </c>
      <c r="CJ30" s="68">
        <f t="shared" si="25"/>
        <v>2.95</v>
      </c>
      <c r="CM30">
        <v>9.8740000000000006</v>
      </c>
      <c r="CO30">
        <v>108</v>
      </c>
      <c r="CP30">
        <f t="shared" si="6"/>
        <v>2.6749999999999998</v>
      </c>
      <c r="CU30" s="1007"/>
      <c r="CV30" s="68"/>
      <c r="CW30" s="68"/>
    </row>
    <row r="31" spans="1:101">
      <c r="A31" s="68">
        <v>9.25</v>
      </c>
      <c r="C31" s="1365">
        <f t="shared" si="26"/>
        <v>1.576750000000013</v>
      </c>
      <c r="D31" s="1365">
        <f t="shared" si="7"/>
        <v>1.576750000000013</v>
      </c>
      <c r="F31" s="1365">
        <f t="shared" si="8"/>
        <v>1.576750000000013</v>
      </c>
      <c r="G31" s="1384">
        <v>-0.33575000000004401</v>
      </c>
      <c r="H31" s="1417">
        <v>1.5625000000000568</v>
      </c>
      <c r="I31" s="1365"/>
      <c r="J31" s="1365">
        <v>9.25</v>
      </c>
      <c r="K31" s="1378"/>
      <c r="L31" s="1365">
        <f t="shared" si="27"/>
        <v>3.3</v>
      </c>
      <c r="M31" s="1365">
        <f t="shared" si="9"/>
        <v>3.3</v>
      </c>
      <c r="N31" s="1365"/>
      <c r="O31" s="1365">
        <f t="shared" si="10"/>
        <v>3.3</v>
      </c>
      <c r="P31" s="1384">
        <v>3</v>
      </c>
      <c r="Q31" s="1385">
        <v>0</v>
      </c>
      <c r="S31" s="149" t="s">
        <v>242</v>
      </c>
      <c r="T31" s="170"/>
      <c r="U31" s="170"/>
      <c r="V31" s="171"/>
      <c r="Z31" s="25"/>
      <c r="AA31" s="14"/>
      <c r="AB31" s="14"/>
      <c r="AD31" s="25"/>
      <c r="AE31" s="14"/>
      <c r="AF31" s="14"/>
      <c r="BA31" s="127"/>
      <c r="BJ31" s="25">
        <f t="shared" si="17"/>
        <v>8.875</v>
      </c>
      <c r="BK31" s="14">
        <f t="shared" si="18"/>
        <v>2.625</v>
      </c>
      <c r="BL31" s="14"/>
      <c r="BN31" s="25">
        <f t="shared" si="19"/>
        <v>9.875</v>
      </c>
      <c r="BO31" s="14">
        <f t="shared" si="20"/>
        <v>2.625</v>
      </c>
      <c r="BP31" s="14"/>
      <c r="BR31" s="25">
        <v>10.875</v>
      </c>
      <c r="BS31" s="14">
        <f t="shared" si="21"/>
        <v>2.2749999999999999</v>
      </c>
      <c r="BV31" s="60">
        <v>3.875</v>
      </c>
      <c r="BW31" s="68">
        <f t="shared" si="28"/>
        <v>2.9</v>
      </c>
      <c r="BX31" s="68">
        <f t="shared" si="22"/>
        <v>2.9</v>
      </c>
      <c r="BY31" s="68">
        <f t="shared" si="23"/>
        <v>2.9</v>
      </c>
      <c r="BZ31" s="68">
        <f t="shared" si="24"/>
        <v>2.9</v>
      </c>
      <c r="CF31">
        <v>9.5</v>
      </c>
      <c r="CG31">
        <v>112.61499999999999</v>
      </c>
      <c r="CH31">
        <v>112.515</v>
      </c>
      <c r="CI31">
        <v>112.515</v>
      </c>
      <c r="CJ31" s="68">
        <f t="shared" si="25"/>
        <v>2.95</v>
      </c>
      <c r="CM31">
        <v>9.9980000000000011</v>
      </c>
      <c r="CO31">
        <v>108.25</v>
      </c>
      <c r="CP31">
        <f t="shared" si="6"/>
        <v>2.6749999999999998</v>
      </c>
      <c r="CU31" s="1007"/>
      <c r="CV31" s="68"/>
      <c r="CW31" s="68"/>
    </row>
    <row r="32" spans="1:101" ht="15.75" thickBot="1">
      <c r="A32" s="68">
        <v>9.375</v>
      </c>
      <c r="C32" s="1365">
        <f t="shared" si="26"/>
        <v>1.576750000000013</v>
      </c>
      <c r="D32" s="1365">
        <f t="shared" si="7"/>
        <v>1.576750000000013</v>
      </c>
      <c r="F32" s="1365">
        <f t="shared" si="8"/>
        <v>1.576750000000013</v>
      </c>
      <c r="G32" s="1384">
        <v>-0.39700000000004515</v>
      </c>
      <c r="H32" s="1417">
        <v>1.623750000000058</v>
      </c>
      <c r="I32" s="1365"/>
      <c r="J32" s="1365">
        <v>9.375</v>
      </c>
      <c r="K32" s="1378"/>
      <c r="L32" s="1365">
        <f t="shared" si="27"/>
        <v>3.3</v>
      </c>
      <c r="M32" s="1365">
        <f t="shared" si="9"/>
        <v>3.3</v>
      </c>
      <c r="N32" s="1365"/>
      <c r="O32" s="1365">
        <f t="shared" si="10"/>
        <v>3.3</v>
      </c>
      <c r="P32" s="1384">
        <v>3</v>
      </c>
      <c r="Q32" s="1385">
        <v>0</v>
      </c>
      <c r="S32" s="151" t="s">
        <v>243</v>
      </c>
      <c r="T32" s="173"/>
      <c r="U32" s="173"/>
      <c r="V32" s="174"/>
      <c r="BA32" s="127"/>
      <c r="BJ32" s="25">
        <f t="shared" si="17"/>
        <v>8.75</v>
      </c>
      <c r="BK32" s="14">
        <f t="shared" si="18"/>
        <v>2.625</v>
      </c>
      <c r="BN32" s="25">
        <f t="shared" si="19"/>
        <v>9.75</v>
      </c>
      <c r="BO32" s="14">
        <f t="shared" si="20"/>
        <v>2.625</v>
      </c>
      <c r="BR32" s="25">
        <v>11</v>
      </c>
      <c r="BS32" s="14">
        <f t="shared" si="21"/>
        <v>2.2749999999999999</v>
      </c>
      <c r="BV32" s="60">
        <v>4</v>
      </c>
      <c r="BW32" s="68">
        <f t="shared" si="28"/>
        <v>2.9</v>
      </c>
      <c r="BX32" s="68">
        <f t="shared" si="22"/>
        <v>2.9</v>
      </c>
      <c r="BY32" s="68">
        <f t="shared" si="23"/>
        <v>2.9</v>
      </c>
      <c r="BZ32" s="68">
        <f t="shared" si="24"/>
        <v>2.9</v>
      </c>
      <c r="CM32">
        <v>10.124000000000001</v>
      </c>
      <c r="CO32">
        <v>108.5</v>
      </c>
      <c r="CP32">
        <f t="shared" si="6"/>
        <v>2.6749999999999998</v>
      </c>
      <c r="CU32" s="1007"/>
      <c r="CV32" s="68"/>
      <c r="CW32" s="68"/>
    </row>
    <row r="33" spans="1:101" ht="15.75" thickTop="1">
      <c r="A33" s="68">
        <v>9.5</v>
      </c>
      <c r="C33" s="1365">
        <f t="shared" si="26"/>
        <v>1.576750000000013</v>
      </c>
      <c r="D33" s="1365">
        <f t="shared" si="7"/>
        <v>1.576750000000013</v>
      </c>
      <c r="F33" s="1365">
        <f t="shared" si="8"/>
        <v>1.576750000000013</v>
      </c>
      <c r="G33" s="1384">
        <v>-0.39700000000004515</v>
      </c>
      <c r="H33" s="1417">
        <v>1.623750000000058</v>
      </c>
      <c r="I33" s="1365"/>
      <c r="J33" s="1365">
        <v>9.5</v>
      </c>
      <c r="K33" s="1378"/>
      <c r="L33" s="1365">
        <f t="shared" si="27"/>
        <v>3.3</v>
      </c>
      <c r="M33" s="1365">
        <f t="shared" si="9"/>
        <v>3.3</v>
      </c>
      <c r="N33" s="1365"/>
      <c r="O33" s="1365">
        <f t="shared" si="10"/>
        <v>3.3</v>
      </c>
      <c r="P33" s="1384">
        <v>3</v>
      </c>
      <c r="Q33" s="1385">
        <v>0</v>
      </c>
      <c r="S33" s="170"/>
      <c r="T33" s="170"/>
      <c r="U33" s="170"/>
      <c r="V33" s="170"/>
      <c r="BA33" s="127"/>
      <c r="BJ33" s="25">
        <f t="shared" si="17"/>
        <v>8.625</v>
      </c>
      <c r="BK33" s="14">
        <f t="shared" si="18"/>
        <v>2.625</v>
      </c>
      <c r="BN33" s="25">
        <f t="shared" si="19"/>
        <v>9.625</v>
      </c>
      <c r="BO33" s="14">
        <f t="shared" si="20"/>
        <v>2.625</v>
      </c>
      <c r="BR33" s="25">
        <v>11.125</v>
      </c>
      <c r="BS33" s="14">
        <f t="shared" si="21"/>
        <v>2.2749999999999999</v>
      </c>
      <c r="BV33" s="60">
        <v>4.125</v>
      </c>
      <c r="BW33" s="68">
        <f t="shared" si="28"/>
        <v>2.9</v>
      </c>
      <c r="BX33" s="68">
        <f t="shared" si="22"/>
        <v>2.9</v>
      </c>
      <c r="BY33" s="68">
        <f t="shared" si="23"/>
        <v>2.9</v>
      </c>
      <c r="BZ33" s="68">
        <f t="shared" si="24"/>
        <v>2.9</v>
      </c>
      <c r="CM33">
        <v>10.249000000000001</v>
      </c>
      <c r="CO33">
        <v>108.75</v>
      </c>
      <c r="CP33">
        <f t="shared" si="6"/>
        <v>2.6749999999999998</v>
      </c>
      <c r="CU33" s="1007"/>
      <c r="CV33" s="68"/>
      <c r="CW33" s="68"/>
    </row>
    <row r="34" spans="1:101" ht="15.75" thickBot="1">
      <c r="A34" s="68"/>
      <c r="J34" s="965"/>
      <c r="K34" s="965"/>
      <c r="L34" s="68"/>
      <c r="M34" s="965"/>
      <c r="AK34" s="170"/>
      <c r="AL34" s="170"/>
      <c r="AM34" s="170"/>
      <c r="AN34" s="170"/>
      <c r="BJ34" s="25">
        <f>BJ33-0.125</f>
        <v>8.5</v>
      </c>
      <c r="BK34" s="14">
        <f>BK33</f>
        <v>2.625</v>
      </c>
      <c r="BN34" s="25">
        <f>BN33-0.125</f>
        <v>9.5</v>
      </c>
      <c r="BO34" s="14">
        <f>BO33</f>
        <v>2.625</v>
      </c>
      <c r="BR34" s="25">
        <v>11.25</v>
      </c>
      <c r="BS34" s="14">
        <f>BS33</f>
        <v>2.2749999999999999</v>
      </c>
      <c r="BV34" s="60">
        <v>4.25</v>
      </c>
      <c r="BW34" s="68">
        <f t="shared" ref="BW34:BZ35" si="29">BW33</f>
        <v>2.9</v>
      </c>
      <c r="BX34" s="68">
        <f t="shared" si="29"/>
        <v>2.9</v>
      </c>
      <c r="BY34" s="68">
        <f t="shared" si="29"/>
        <v>2.9</v>
      </c>
      <c r="BZ34" s="68">
        <f t="shared" si="29"/>
        <v>2.9</v>
      </c>
      <c r="CM34">
        <v>10.374000000000001</v>
      </c>
      <c r="CO34">
        <v>109</v>
      </c>
      <c r="CP34">
        <f>CP33</f>
        <v>2.6749999999999998</v>
      </c>
      <c r="CU34" s="1007"/>
      <c r="CV34" s="68"/>
      <c r="CW34" s="68"/>
    </row>
    <row r="35" spans="1:101" ht="15.75" thickBot="1">
      <c r="A35" s="68"/>
      <c r="AM35" t="s">
        <v>399</v>
      </c>
      <c r="AR35" s="941" t="s">
        <v>511</v>
      </c>
      <c r="AS35" s="942"/>
      <c r="AT35" s="971" t="s">
        <v>512</v>
      </c>
      <c r="AU35" s="971"/>
      <c r="AV35" s="942"/>
      <c r="AW35" s="943"/>
      <c r="BJ35" s="25">
        <f>BJ34-0.125</f>
        <v>8.375</v>
      </c>
      <c r="BK35" s="14">
        <f>BK34</f>
        <v>2.625</v>
      </c>
      <c r="BN35" s="25">
        <f>BN34-0.125</f>
        <v>9.375</v>
      </c>
      <c r="BO35" s="14">
        <f>BO34</f>
        <v>2.625</v>
      </c>
      <c r="BR35" s="25">
        <v>11.375</v>
      </c>
      <c r="BS35" s="14">
        <f>BS34</f>
        <v>2.2749999999999999</v>
      </c>
      <c r="BV35" s="60">
        <v>4.375</v>
      </c>
      <c r="BW35" s="68">
        <f t="shared" si="29"/>
        <v>2.9</v>
      </c>
      <c r="BX35" s="68">
        <f t="shared" si="29"/>
        <v>2.9</v>
      </c>
      <c r="BY35" s="68">
        <f t="shared" si="29"/>
        <v>2.9</v>
      </c>
      <c r="BZ35" s="68">
        <f t="shared" si="29"/>
        <v>2.9</v>
      </c>
      <c r="CM35">
        <v>10.499000000000001</v>
      </c>
      <c r="CO35">
        <v>109.25</v>
      </c>
      <c r="CP35">
        <f t="shared" si="6"/>
        <v>2.6749999999999998</v>
      </c>
      <c r="CU35" s="1007"/>
      <c r="CV35" s="68"/>
      <c r="CW35" s="68"/>
    </row>
    <row r="36" spans="1:101">
      <c r="A36" t="s">
        <v>246</v>
      </c>
      <c r="AA36" t="s">
        <v>399</v>
      </c>
      <c r="AM36" s="939" t="s">
        <v>226</v>
      </c>
      <c r="AN36" s="939" t="s">
        <v>13</v>
      </c>
      <c r="AO36" s="940" t="s">
        <v>88</v>
      </c>
      <c r="AP36" s="940" t="s">
        <v>229</v>
      </c>
      <c r="AR36" s="939" t="s">
        <v>226</v>
      </c>
      <c r="AS36" s="939" t="s">
        <v>227</v>
      </c>
      <c r="AT36" s="939" t="s">
        <v>13</v>
      </c>
      <c r="AU36" s="940" t="s">
        <v>88</v>
      </c>
      <c r="AV36" s="940" t="s">
        <v>228</v>
      </c>
      <c r="AW36" s="940" t="s">
        <v>229</v>
      </c>
      <c r="BJ36" s="25">
        <f t="shared" si="17"/>
        <v>8.25</v>
      </c>
      <c r="BK36" s="14">
        <f t="shared" si="18"/>
        <v>2.625</v>
      </c>
      <c r="BN36" s="25">
        <f t="shared" si="19"/>
        <v>9.25</v>
      </c>
      <c r="BO36" s="14">
        <f t="shared" si="20"/>
        <v>2.625</v>
      </c>
      <c r="BR36" s="25">
        <v>11.5</v>
      </c>
      <c r="BS36" s="14">
        <f t="shared" si="21"/>
        <v>2.2749999999999999</v>
      </c>
      <c r="BV36" s="60">
        <v>4.5</v>
      </c>
      <c r="BW36" s="68">
        <f t="shared" si="28"/>
        <v>2.9</v>
      </c>
      <c r="BX36" s="68">
        <f t="shared" si="22"/>
        <v>2.9</v>
      </c>
      <c r="BY36" s="68">
        <f t="shared" si="23"/>
        <v>2.9</v>
      </c>
      <c r="BZ36" s="68">
        <f t="shared" si="24"/>
        <v>2.9</v>
      </c>
      <c r="CM36">
        <v>10.624000000000001</v>
      </c>
      <c r="CO36">
        <v>109.5</v>
      </c>
      <c r="CP36">
        <f t="shared" si="6"/>
        <v>2.6749999999999998</v>
      </c>
      <c r="CU36" s="1007"/>
      <c r="CV36" s="68"/>
      <c r="CW36" s="68"/>
    </row>
    <row r="37" spans="1:101">
      <c r="A37" s="175" t="s">
        <v>244</v>
      </c>
      <c r="B37" s="176" t="s">
        <v>245</v>
      </c>
      <c r="C37" s="177"/>
      <c r="D37" s="220" t="s">
        <v>122</v>
      </c>
      <c r="E37" s="220" t="s">
        <v>123</v>
      </c>
      <c r="F37" s="220" t="s">
        <v>124</v>
      </c>
      <c r="G37" s="220" t="s">
        <v>125</v>
      </c>
      <c r="H37" s="220" t="s">
        <v>126</v>
      </c>
      <c r="I37" s="220" t="s">
        <v>127</v>
      </c>
      <c r="J37" s="220" t="s">
        <v>128</v>
      </c>
      <c r="K37" s="221" t="s">
        <v>115</v>
      </c>
      <c r="O37" s="242" t="s">
        <v>244</v>
      </c>
      <c r="P37" s="243" t="s">
        <v>245</v>
      </c>
      <c r="Q37" s="244"/>
      <c r="R37" s="220" t="s">
        <v>122</v>
      </c>
      <c r="S37" s="220" t="s">
        <v>123</v>
      </c>
      <c r="T37" s="220" t="s">
        <v>124</v>
      </c>
      <c r="U37" s="220" t="s">
        <v>125</v>
      </c>
      <c r="V37" s="220" t="s">
        <v>126</v>
      </c>
      <c r="W37" s="220" t="s">
        <v>127</v>
      </c>
      <c r="X37" s="220" t="s">
        <v>128</v>
      </c>
      <c r="Y37" s="221" t="s">
        <v>115</v>
      </c>
      <c r="AA37" s="242" t="s">
        <v>244</v>
      </c>
      <c r="AB37" s="243" t="s">
        <v>245</v>
      </c>
      <c r="AC37" s="244"/>
      <c r="AD37" s="220" t="s">
        <v>122</v>
      </c>
      <c r="AE37" s="220" t="s">
        <v>123</v>
      </c>
      <c r="AF37" s="220" t="s">
        <v>124</v>
      </c>
      <c r="AG37" s="220" t="s">
        <v>125</v>
      </c>
      <c r="AH37" s="220" t="s">
        <v>126</v>
      </c>
      <c r="AI37" s="220" t="s">
        <v>127</v>
      </c>
      <c r="AJ37" s="220" t="s">
        <v>128</v>
      </c>
      <c r="AK37" s="221" t="s">
        <v>115</v>
      </c>
      <c r="AM37" s="68">
        <f>A5</f>
        <v>6</v>
      </c>
      <c r="AN37" s="68">
        <v>98.718999999999994</v>
      </c>
      <c r="AO37" s="68">
        <v>98.619</v>
      </c>
      <c r="AP37" s="68">
        <v>98.619</v>
      </c>
      <c r="AR37" s="68">
        <f>AM37</f>
        <v>6</v>
      </c>
      <c r="AT37" s="68">
        <v>0.26199999999999424</v>
      </c>
      <c r="AU37" s="68">
        <v>0.26199999999999424</v>
      </c>
      <c r="AV37" s="68"/>
      <c r="AW37" s="68">
        <f t="shared" ref="AW37:AW65" si="30">AU37+$AY$36</f>
        <v>0.26199999999999424</v>
      </c>
      <c r="AX37" s="68"/>
      <c r="AY37" s="68"/>
      <c r="AZ37" s="68"/>
      <c r="BJ37" s="25">
        <f t="shared" si="17"/>
        <v>8.125</v>
      </c>
      <c r="BK37" s="14">
        <f t="shared" si="18"/>
        <v>2.625</v>
      </c>
      <c r="BN37" s="25">
        <f t="shared" si="19"/>
        <v>9.125</v>
      </c>
      <c r="BO37" s="14">
        <f t="shared" si="20"/>
        <v>2.625</v>
      </c>
      <c r="BR37" s="25">
        <v>11.625</v>
      </c>
      <c r="BS37" s="14">
        <f t="shared" si="21"/>
        <v>2.2749999999999999</v>
      </c>
      <c r="BV37" s="60">
        <v>4.625</v>
      </c>
      <c r="BW37" s="68">
        <f t="shared" si="28"/>
        <v>2.9</v>
      </c>
      <c r="BX37" s="68">
        <f t="shared" si="22"/>
        <v>2.9</v>
      </c>
      <c r="BY37" s="68">
        <f t="shared" si="23"/>
        <v>2.9</v>
      </c>
      <c r="BZ37" s="68">
        <f t="shared" si="24"/>
        <v>2.9</v>
      </c>
      <c r="CM37">
        <v>10.749000000000001</v>
      </c>
      <c r="CO37">
        <v>109.75</v>
      </c>
      <c r="CP37">
        <f t="shared" si="6"/>
        <v>2.6749999999999998</v>
      </c>
      <c r="CU37" s="1007"/>
      <c r="CV37" s="68"/>
      <c r="CW37" s="68"/>
    </row>
    <row r="38" spans="1:101">
      <c r="A38" s="178"/>
      <c r="B38" s="179" t="s">
        <v>116</v>
      </c>
      <c r="C38" s="180"/>
      <c r="D38" s="923">
        <v>-2.5</v>
      </c>
      <c r="E38" s="923">
        <v>-2.5</v>
      </c>
      <c r="F38" s="923">
        <v>-2.5</v>
      </c>
      <c r="G38" s="923">
        <v>-2</v>
      </c>
      <c r="H38" s="923">
        <v>-1.5</v>
      </c>
      <c r="I38" s="923">
        <v>-1.5</v>
      </c>
      <c r="J38" s="924">
        <v>-0.125</v>
      </c>
      <c r="K38" s="223">
        <v>0</v>
      </c>
      <c r="O38" s="245"/>
      <c r="P38" s="246" t="s">
        <v>116</v>
      </c>
      <c r="Q38" s="247"/>
      <c r="R38" s="913">
        <v>1.875</v>
      </c>
      <c r="S38" s="914">
        <v>1.625</v>
      </c>
      <c r="T38" s="914">
        <v>1.375</v>
      </c>
      <c r="U38" s="914">
        <v>0.875</v>
      </c>
      <c r="V38" s="914">
        <v>0.25</v>
      </c>
      <c r="W38" s="914">
        <v>-0.24999999999999997</v>
      </c>
      <c r="X38" s="878">
        <v>-2.125</v>
      </c>
      <c r="Y38" s="223">
        <v>-4.5</v>
      </c>
      <c r="AA38" s="245"/>
      <c r="AB38" s="246" t="s">
        <v>116</v>
      </c>
      <c r="AC38" s="247"/>
      <c r="AD38" s="68">
        <f>R38-0.625+0.175</f>
        <v>1.425</v>
      </c>
      <c r="AE38" s="68">
        <f t="shared" ref="AE38:AF43" si="31">S38-0.625+0.175</f>
        <v>1.175</v>
      </c>
      <c r="AF38" s="68">
        <f t="shared" si="31"/>
        <v>0.92500000000000004</v>
      </c>
      <c r="AG38" s="68">
        <f>U38-0.7</f>
        <v>0.17500000000000004</v>
      </c>
      <c r="AH38" s="68">
        <f>V38-0.625-0.325</f>
        <v>-0.7</v>
      </c>
      <c r="AI38" s="68">
        <f>W38-0.625-0.575</f>
        <v>-1.45</v>
      </c>
      <c r="AJ38" s="68">
        <f>X38-0.625-0.575</f>
        <v>-3.3250000000000002</v>
      </c>
      <c r="AK38" s="68">
        <f>Y38-1.975</f>
        <v>-6.4749999999999996</v>
      </c>
      <c r="AM38" s="68">
        <f t="shared" ref="AM38:AM65" si="32">A6</f>
        <v>6.125</v>
      </c>
      <c r="AN38" s="68">
        <v>99.718999999999994</v>
      </c>
      <c r="AO38" s="68">
        <v>99.619</v>
      </c>
      <c r="AP38" s="68">
        <v>99.619</v>
      </c>
      <c r="AR38" s="68">
        <f t="shared" ref="AR38:AR65" si="33">AM38</f>
        <v>6.125</v>
      </c>
      <c r="AT38" s="68">
        <v>0.26199999999999424</v>
      </c>
      <c r="AU38" s="68">
        <v>0.26199999999999424</v>
      </c>
      <c r="AV38" s="68"/>
      <c r="AW38" s="68">
        <f t="shared" si="30"/>
        <v>0.26199999999999424</v>
      </c>
      <c r="AX38" s="68"/>
      <c r="AY38" s="68"/>
      <c r="AZ38" s="68"/>
      <c r="BJ38" s="25">
        <f t="shared" si="17"/>
        <v>8</v>
      </c>
      <c r="BK38" s="14">
        <f t="shared" si="18"/>
        <v>2.625</v>
      </c>
      <c r="BN38" s="25">
        <f t="shared" si="19"/>
        <v>9</v>
      </c>
      <c r="BO38" s="14">
        <f t="shared" si="20"/>
        <v>2.625</v>
      </c>
      <c r="BR38" s="25">
        <v>11.75</v>
      </c>
      <c r="BS38" s="14">
        <f t="shared" si="21"/>
        <v>2.2749999999999999</v>
      </c>
      <c r="BV38" s="60">
        <v>4.75</v>
      </c>
      <c r="BW38" s="68">
        <f t="shared" si="28"/>
        <v>2.9</v>
      </c>
      <c r="BX38" s="68">
        <f t="shared" si="22"/>
        <v>2.9</v>
      </c>
      <c r="BY38" s="68">
        <f t="shared" si="23"/>
        <v>2.9</v>
      </c>
      <c r="BZ38" s="68">
        <f t="shared" si="24"/>
        <v>2.9</v>
      </c>
      <c r="CU38" s="1007"/>
      <c r="CV38" s="68"/>
      <c r="CW38" s="68"/>
    </row>
    <row r="39" spans="1:101">
      <c r="A39" s="178"/>
      <c r="B39" s="179" t="s">
        <v>24</v>
      </c>
      <c r="C39" s="180"/>
      <c r="D39" s="923">
        <v>-2.5</v>
      </c>
      <c r="E39" s="923">
        <v>-2.5</v>
      </c>
      <c r="F39" s="923">
        <v>-2.5</v>
      </c>
      <c r="G39" s="923">
        <v>-2</v>
      </c>
      <c r="H39" s="923">
        <v>-1.5</v>
      </c>
      <c r="I39" s="923">
        <v>-1.5</v>
      </c>
      <c r="J39" s="924">
        <v>-0.125</v>
      </c>
      <c r="K39" s="224">
        <v>0</v>
      </c>
      <c r="O39" s="245"/>
      <c r="P39" s="246" t="s">
        <v>24</v>
      </c>
      <c r="Q39" s="247"/>
      <c r="R39" s="913">
        <v>1.75</v>
      </c>
      <c r="S39" s="914">
        <v>1.5</v>
      </c>
      <c r="T39" s="914">
        <v>1.2499999999999998</v>
      </c>
      <c r="U39" s="914">
        <v>0.75</v>
      </c>
      <c r="V39" s="914">
        <v>-1.1102230246251565E-16</v>
      </c>
      <c r="W39" s="914">
        <v>-0.50000000000000011</v>
      </c>
      <c r="X39" s="878">
        <v>-2.375</v>
      </c>
      <c r="Y39" s="224">
        <v>-4.75</v>
      </c>
      <c r="AA39" s="245"/>
      <c r="AB39" s="246" t="s">
        <v>24</v>
      </c>
      <c r="AC39" s="247"/>
      <c r="AD39" s="68">
        <f t="shared" ref="AD39:AD43" si="34">R39-0.625+0.175</f>
        <v>1.3</v>
      </c>
      <c r="AE39" s="68">
        <f t="shared" si="31"/>
        <v>1.05</v>
      </c>
      <c r="AF39" s="68">
        <f t="shared" si="31"/>
        <v>0.79999999999999982</v>
      </c>
      <c r="AG39" s="68">
        <f t="shared" ref="AG39:AG43" si="35">U39-0.7</f>
        <v>5.0000000000000044E-2</v>
      </c>
      <c r="AH39" s="68">
        <f t="shared" ref="AH39:AH43" si="36">V39-0.625-0.325</f>
        <v>-0.95000000000000018</v>
      </c>
      <c r="AI39" s="68">
        <f t="shared" ref="AI39:AJ43" si="37">W39-0.625-0.575</f>
        <v>-1.7</v>
      </c>
      <c r="AJ39" s="68">
        <f t="shared" si="37"/>
        <v>-3.5750000000000002</v>
      </c>
      <c r="AK39" s="68">
        <f>Y39-1.975</f>
        <v>-6.7249999999999996</v>
      </c>
      <c r="AM39" s="68">
        <f t="shared" si="32"/>
        <v>6.25</v>
      </c>
      <c r="AN39" s="68">
        <v>100.71899999999999</v>
      </c>
      <c r="AO39" s="68">
        <v>100.619</v>
      </c>
      <c r="AP39" s="68">
        <v>100.619</v>
      </c>
      <c r="AR39" s="68">
        <f t="shared" si="33"/>
        <v>6.25</v>
      </c>
      <c r="AT39" s="68">
        <v>0.38699999999999402</v>
      </c>
      <c r="AU39" s="68">
        <v>0.38699999999999402</v>
      </c>
      <c r="AV39" s="68"/>
      <c r="AW39" s="68">
        <f t="shared" si="30"/>
        <v>0.38699999999999402</v>
      </c>
      <c r="AX39" s="68"/>
      <c r="AY39" s="68"/>
      <c r="AZ39" s="68"/>
      <c r="BJ39" s="25">
        <f t="shared" si="17"/>
        <v>7.875</v>
      </c>
      <c r="BK39" s="14">
        <f t="shared" si="18"/>
        <v>2.625</v>
      </c>
      <c r="BN39" s="25">
        <f t="shared" si="19"/>
        <v>8.875</v>
      </c>
      <c r="BO39" s="14">
        <f t="shared" si="20"/>
        <v>2.625</v>
      </c>
      <c r="BR39" s="25">
        <v>11.875</v>
      </c>
      <c r="BS39" s="14">
        <f t="shared" si="21"/>
        <v>2.2749999999999999</v>
      </c>
      <c r="BV39" s="60">
        <v>4.875</v>
      </c>
      <c r="BW39" s="68">
        <f t="shared" si="28"/>
        <v>2.9</v>
      </c>
      <c r="BX39" s="68">
        <f t="shared" si="22"/>
        <v>2.9</v>
      </c>
      <c r="BY39" s="68">
        <f t="shared" si="23"/>
        <v>2.9</v>
      </c>
      <c r="BZ39" s="68">
        <f t="shared" si="24"/>
        <v>2.9</v>
      </c>
      <c r="CU39" s="1007"/>
      <c r="CV39" s="68"/>
      <c r="CW39" s="68"/>
    </row>
    <row r="40" spans="1:101">
      <c r="A40" s="178"/>
      <c r="B40" s="179" t="s">
        <v>25</v>
      </c>
      <c r="C40" s="180"/>
      <c r="D40" s="923">
        <v>-2.5</v>
      </c>
      <c r="E40" s="923">
        <v>-2.5</v>
      </c>
      <c r="F40" s="923">
        <v>-2.5</v>
      </c>
      <c r="G40" s="923">
        <v>-2</v>
      </c>
      <c r="H40" s="923">
        <v>-1.5</v>
      </c>
      <c r="I40" s="923">
        <v>-1.5</v>
      </c>
      <c r="J40" s="924">
        <v>-0.125</v>
      </c>
      <c r="K40" s="224">
        <v>0</v>
      </c>
      <c r="O40" s="245"/>
      <c r="P40" s="246" t="s">
        <v>25</v>
      </c>
      <c r="Q40" s="247"/>
      <c r="R40" s="913">
        <v>1.5</v>
      </c>
      <c r="S40" s="914">
        <v>1.25</v>
      </c>
      <c r="T40" s="914">
        <v>0.99999999999999978</v>
      </c>
      <c r="U40" s="914">
        <v>0.5</v>
      </c>
      <c r="V40" s="914">
        <v>-0.25</v>
      </c>
      <c r="W40" s="914">
        <v>-0.75</v>
      </c>
      <c r="X40" s="878">
        <v>-3.25</v>
      </c>
      <c r="Y40" s="224"/>
      <c r="AA40" s="245"/>
      <c r="AB40" s="246" t="s">
        <v>25</v>
      </c>
      <c r="AC40" s="247"/>
      <c r="AD40" s="68">
        <f t="shared" si="34"/>
        <v>1.05</v>
      </c>
      <c r="AE40" s="68">
        <f t="shared" si="31"/>
        <v>0.8</v>
      </c>
      <c r="AF40" s="68">
        <f t="shared" si="31"/>
        <v>0.54999999999999982</v>
      </c>
      <c r="AG40" s="68">
        <f t="shared" si="35"/>
        <v>-0.19999999999999996</v>
      </c>
      <c r="AH40" s="68">
        <f t="shared" si="36"/>
        <v>-1.2</v>
      </c>
      <c r="AI40" s="68">
        <f t="shared" si="37"/>
        <v>-1.95</v>
      </c>
      <c r="AJ40" s="68">
        <f t="shared" si="37"/>
        <v>-4.45</v>
      </c>
      <c r="AK40" s="68" t="s">
        <v>14</v>
      </c>
      <c r="AM40" s="68">
        <f t="shared" si="32"/>
        <v>6.375</v>
      </c>
      <c r="AN40" s="68">
        <v>101.46899999999999</v>
      </c>
      <c r="AO40" s="68">
        <v>101.369</v>
      </c>
      <c r="AP40" s="68">
        <v>101.369</v>
      </c>
      <c r="AR40" s="68">
        <f t="shared" si="33"/>
        <v>6.375</v>
      </c>
      <c r="AT40" s="68">
        <v>0.38699999999999402</v>
      </c>
      <c r="AU40" s="68">
        <v>0.38699999999999402</v>
      </c>
      <c r="AV40" s="68"/>
      <c r="AW40" s="68">
        <f t="shared" si="30"/>
        <v>0.38699999999999402</v>
      </c>
      <c r="AX40" s="68"/>
      <c r="AY40" s="68"/>
      <c r="AZ40" s="68"/>
      <c r="BJ40" s="25">
        <f t="shared" si="17"/>
        <v>7.75</v>
      </c>
      <c r="BK40" s="14">
        <f t="shared" si="18"/>
        <v>2.625</v>
      </c>
      <c r="BN40" s="25">
        <f t="shared" si="19"/>
        <v>8.75</v>
      </c>
      <c r="BO40" s="14">
        <f t="shared" si="20"/>
        <v>2.625</v>
      </c>
      <c r="BR40" s="25">
        <v>12</v>
      </c>
      <c r="BS40" s="14">
        <f t="shared" si="21"/>
        <v>2.2749999999999999</v>
      </c>
      <c r="BV40" s="60">
        <v>5</v>
      </c>
      <c r="BW40" s="68">
        <f t="shared" si="28"/>
        <v>2.9</v>
      </c>
      <c r="BX40" s="68">
        <f t="shared" si="22"/>
        <v>2.9</v>
      </c>
      <c r="BY40" s="68">
        <f t="shared" si="23"/>
        <v>2.9</v>
      </c>
      <c r="BZ40" s="68">
        <f t="shared" si="24"/>
        <v>2.9</v>
      </c>
      <c r="CU40" s="1007"/>
      <c r="CV40" s="68"/>
      <c r="CW40" s="68"/>
    </row>
    <row r="41" spans="1:101">
      <c r="A41" s="178" t="s">
        <v>114</v>
      </c>
      <c r="B41" s="179" t="s">
        <v>26</v>
      </c>
      <c r="C41" s="180"/>
      <c r="D41" s="923">
        <v>-2.5</v>
      </c>
      <c r="E41" s="923">
        <v>-2.5</v>
      </c>
      <c r="F41" s="923">
        <v>-2</v>
      </c>
      <c r="G41" s="923">
        <v>-2</v>
      </c>
      <c r="H41" s="923">
        <v>-1.5</v>
      </c>
      <c r="I41" s="923">
        <v>-1.5</v>
      </c>
      <c r="J41" s="924">
        <v>-0.125</v>
      </c>
      <c r="K41" s="224">
        <v>0</v>
      </c>
      <c r="O41" s="245" t="s">
        <v>114</v>
      </c>
      <c r="P41" s="246" t="s">
        <v>26</v>
      </c>
      <c r="Q41" s="247"/>
      <c r="R41" s="913">
        <v>1.125</v>
      </c>
      <c r="S41" s="914">
        <v>0.875</v>
      </c>
      <c r="T41" s="914">
        <v>0.37499999999999978</v>
      </c>
      <c r="U41" s="914">
        <v>-0.125</v>
      </c>
      <c r="V41" s="914">
        <v>-1</v>
      </c>
      <c r="W41" s="914">
        <v>-1.375</v>
      </c>
      <c r="X41" s="878">
        <v>-4</v>
      </c>
      <c r="Y41" s="224"/>
      <c r="AA41" s="245" t="s">
        <v>114</v>
      </c>
      <c r="AB41" s="246" t="s">
        <v>26</v>
      </c>
      <c r="AC41" s="247"/>
      <c r="AD41" s="68">
        <f t="shared" si="34"/>
        <v>0.67500000000000004</v>
      </c>
      <c r="AE41" s="68">
        <f t="shared" si="31"/>
        <v>0.42499999999999999</v>
      </c>
      <c r="AF41" s="68">
        <f t="shared" si="31"/>
        <v>-7.5000000000000233E-2</v>
      </c>
      <c r="AG41" s="68">
        <f t="shared" si="35"/>
        <v>-0.82499999999999996</v>
      </c>
      <c r="AH41" s="68">
        <f t="shared" si="36"/>
        <v>-1.95</v>
      </c>
      <c r="AI41" s="68">
        <f t="shared" si="37"/>
        <v>-2.5750000000000002</v>
      </c>
      <c r="AJ41" s="68">
        <f t="shared" si="37"/>
        <v>-5.2</v>
      </c>
      <c r="AK41" s="68" t="s">
        <v>14</v>
      </c>
      <c r="AM41" s="68">
        <f t="shared" si="32"/>
        <v>6.5</v>
      </c>
      <c r="AN41" s="68">
        <v>102.30699999999999</v>
      </c>
      <c r="AO41" s="68">
        <v>102.20699999999999</v>
      </c>
      <c r="AP41" s="68">
        <v>102.20699999999999</v>
      </c>
      <c r="AR41" s="68">
        <f t="shared" si="33"/>
        <v>6.5</v>
      </c>
      <c r="AT41" s="68">
        <v>0.53699999999999415</v>
      </c>
      <c r="AU41" s="68">
        <v>0.53699999999999415</v>
      </c>
      <c r="AV41" s="68"/>
      <c r="AW41" s="68">
        <f t="shared" si="30"/>
        <v>0.53699999999999415</v>
      </c>
      <c r="AX41" s="68"/>
      <c r="AY41" s="68"/>
      <c r="AZ41" s="68"/>
      <c r="BJ41" s="25">
        <f t="shared" si="17"/>
        <v>7.625</v>
      </c>
      <c r="BK41" s="14">
        <f t="shared" si="18"/>
        <v>2.625</v>
      </c>
      <c r="BN41" s="25">
        <f t="shared" si="19"/>
        <v>8.625</v>
      </c>
      <c r="BO41" s="14">
        <f t="shared" si="20"/>
        <v>2.625</v>
      </c>
      <c r="BR41" s="25">
        <v>12.125</v>
      </c>
      <c r="BS41" s="14">
        <f t="shared" si="21"/>
        <v>2.2749999999999999</v>
      </c>
      <c r="BV41" s="60">
        <v>5.125</v>
      </c>
      <c r="BW41" s="68">
        <f t="shared" si="28"/>
        <v>2.9</v>
      </c>
      <c r="BX41" s="68">
        <f t="shared" si="22"/>
        <v>2.9</v>
      </c>
      <c r="BY41" s="68">
        <f t="shared" si="23"/>
        <v>2.9</v>
      </c>
      <c r="BZ41" s="68">
        <f t="shared" si="24"/>
        <v>2.9</v>
      </c>
      <c r="CU41" s="1007"/>
      <c r="CV41" s="68"/>
      <c r="CW41" s="68"/>
    </row>
    <row r="42" spans="1:101">
      <c r="A42" s="178"/>
      <c r="B42" s="179" t="s">
        <v>27</v>
      </c>
      <c r="C42" s="180"/>
      <c r="D42" s="923">
        <v>-2.5</v>
      </c>
      <c r="E42" s="923">
        <v>-2.5</v>
      </c>
      <c r="F42" s="923">
        <v>-2</v>
      </c>
      <c r="G42" s="923">
        <v>-2</v>
      </c>
      <c r="H42" s="923">
        <v>-1</v>
      </c>
      <c r="I42" s="923">
        <v>-0.25</v>
      </c>
      <c r="J42" s="924">
        <v>-0.125</v>
      </c>
      <c r="K42" s="224">
        <v>0</v>
      </c>
      <c r="O42" s="245"/>
      <c r="P42" s="246" t="s">
        <v>27</v>
      </c>
      <c r="Q42" s="247"/>
      <c r="R42" s="913">
        <v>0.49999999999999989</v>
      </c>
      <c r="S42" s="914">
        <v>0.12499999999999989</v>
      </c>
      <c r="T42" s="914">
        <v>-0.12500000000000011</v>
      </c>
      <c r="U42" s="914">
        <v>-0.625</v>
      </c>
      <c r="V42" s="914">
        <v>-2</v>
      </c>
      <c r="W42" s="914">
        <v>-3.25</v>
      </c>
      <c r="X42" s="878">
        <v>-4.25</v>
      </c>
      <c r="Y42" s="224"/>
      <c r="AA42" s="245"/>
      <c r="AB42" s="246" t="s">
        <v>27</v>
      </c>
      <c r="AC42" s="247"/>
      <c r="AD42" s="68">
        <f t="shared" si="34"/>
        <v>4.9999999999999878E-2</v>
      </c>
      <c r="AE42" s="68">
        <f t="shared" si="31"/>
        <v>-0.32500000000000012</v>
      </c>
      <c r="AF42" s="68">
        <f t="shared" si="31"/>
        <v>-0.57500000000000018</v>
      </c>
      <c r="AG42" s="68">
        <f t="shared" si="35"/>
        <v>-1.325</v>
      </c>
      <c r="AH42" s="68">
        <f t="shared" si="36"/>
        <v>-2.95</v>
      </c>
      <c r="AI42" s="68">
        <f t="shared" si="37"/>
        <v>-4.45</v>
      </c>
      <c r="AJ42" s="68" t="s">
        <v>14</v>
      </c>
      <c r="AK42" s="68" t="s">
        <v>14</v>
      </c>
      <c r="AM42" s="68">
        <f t="shared" si="32"/>
        <v>6.625</v>
      </c>
      <c r="AN42" s="68">
        <v>103.18099999999998</v>
      </c>
      <c r="AO42" s="68">
        <v>103.08099999999999</v>
      </c>
      <c r="AP42" s="68">
        <v>103.08099999999999</v>
      </c>
      <c r="AR42" s="68">
        <f t="shared" si="33"/>
        <v>6.625</v>
      </c>
      <c r="AT42" s="68">
        <v>0.72399999999999187</v>
      </c>
      <c r="AU42" s="68">
        <v>0.72399999999999187</v>
      </c>
      <c r="AV42" s="68"/>
      <c r="AW42" s="68">
        <f t="shared" si="30"/>
        <v>0.72399999999999187</v>
      </c>
      <c r="AX42" s="68"/>
      <c r="AY42" s="68"/>
      <c r="AZ42" s="68"/>
      <c r="BJ42" s="25">
        <f t="shared" si="17"/>
        <v>7.5</v>
      </c>
      <c r="BK42" s="14">
        <f t="shared" si="18"/>
        <v>2.625</v>
      </c>
      <c r="BN42" s="25">
        <f t="shared" si="19"/>
        <v>8.5</v>
      </c>
      <c r="BO42" s="14">
        <f t="shared" si="20"/>
        <v>2.625</v>
      </c>
      <c r="BR42" s="25">
        <v>12.25</v>
      </c>
      <c r="BS42" s="14">
        <f t="shared" si="21"/>
        <v>2.2749999999999999</v>
      </c>
      <c r="BV42" s="60">
        <v>5.25</v>
      </c>
      <c r="BW42" s="68">
        <f t="shared" si="28"/>
        <v>2.9</v>
      </c>
      <c r="BX42" s="68">
        <f t="shared" si="22"/>
        <v>2.9</v>
      </c>
      <c r="BY42" s="68">
        <f t="shared" si="23"/>
        <v>2.9</v>
      </c>
      <c r="BZ42" s="68">
        <f t="shared" si="24"/>
        <v>2.9</v>
      </c>
    </row>
    <row r="43" spans="1:101">
      <c r="A43" s="178"/>
      <c r="B43" s="179" t="s">
        <v>28</v>
      </c>
      <c r="C43" s="180"/>
      <c r="D43" s="923">
        <v>-2.5</v>
      </c>
      <c r="E43" s="923">
        <v>-2.5</v>
      </c>
      <c r="F43" s="923">
        <v>-2</v>
      </c>
      <c r="G43" s="923">
        <v>-2</v>
      </c>
      <c r="H43" s="923">
        <v>-1</v>
      </c>
      <c r="I43" s="923">
        <v>-0.25</v>
      </c>
      <c r="J43" s="924">
        <v>-0.125</v>
      </c>
      <c r="K43" s="224">
        <v>0</v>
      </c>
      <c r="O43" s="245"/>
      <c r="P43" s="246" t="s">
        <v>28</v>
      </c>
      <c r="Q43" s="247"/>
      <c r="R43" s="913">
        <v>0.24999999999999992</v>
      </c>
      <c r="S43" s="914">
        <v>-0.12500000000000011</v>
      </c>
      <c r="T43" s="914">
        <v>-0.62500000000000011</v>
      </c>
      <c r="U43" s="914">
        <v>-1.125</v>
      </c>
      <c r="V43" s="914">
        <v>-2.5</v>
      </c>
      <c r="W43" s="914">
        <v>-5</v>
      </c>
      <c r="X43" s="878">
        <v>-6.25</v>
      </c>
      <c r="Y43" s="224"/>
      <c r="AA43" s="245"/>
      <c r="AB43" s="246" t="s">
        <v>28</v>
      </c>
      <c r="AC43" s="247"/>
      <c r="AD43" s="68">
        <f t="shared" si="34"/>
        <v>-0.20000000000000012</v>
      </c>
      <c r="AE43" s="68">
        <f t="shared" si="31"/>
        <v>-0.57500000000000018</v>
      </c>
      <c r="AF43" s="68">
        <f t="shared" si="31"/>
        <v>-1.075</v>
      </c>
      <c r="AG43" s="68">
        <f t="shared" si="35"/>
        <v>-1.825</v>
      </c>
      <c r="AH43" s="68">
        <f t="shared" si="36"/>
        <v>-3.45</v>
      </c>
      <c r="AI43" s="68">
        <f t="shared" si="37"/>
        <v>-6.2</v>
      </c>
      <c r="AJ43" s="68" t="s">
        <v>14</v>
      </c>
      <c r="AK43" s="68" t="s">
        <v>14</v>
      </c>
      <c r="AM43" s="68">
        <f t="shared" si="32"/>
        <v>6.75</v>
      </c>
      <c r="AN43" s="68">
        <v>103.86999999999999</v>
      </c>
      <c r="AO43" s="68">
        <v>103.77</v>
      </c>
      <c r="AP43" s="68">
        <v>103.77</v>
      </c>
      <c r="AR43" s="68">
        <f t="shared" si="33"/>
        <v>6.75</v>
      </c>
      <c r="AT43" s="68">
        <v>0.72499999999999665</v>
      </c>
      <c r="AU43" s="68">
        <v>0.72499999999999665</v>
      </c>
      <c r="AV43" s="68"/>
      <c r="AW43" s="68">
        <f t="shared" si="30"/>
        <v>0.72499999999999665</v>
      </c>
      <c r="AX43" s="68"/>
      <c r="AY43" s="68"/>
      <c r="AZ43" s="68"/>
      <c r="BJ43" s="25">
        <f t="shared" si="17"/>
        <v>7.375</v>
      </c>
      <c r="BK43" s="14">
        <f t="shared" si="18"/>
        <v>2.625</v>
      </c>
      <c r="BN43" s="25"/>
      <c r="BO43" s="14"/>
      <c r="BR43" s="25">
        <v>12.375</v>
      </c>
      <c r="BS43" s="14">
        <f t="shared" si="21"/>
        <v>2.2749999999999999</v>
      </c>
      <c r="BV43" s="60">
        <v>5.375</v>
      </c>
      <c r="BW43" s="68">
        <f t="shared" si="28"/>
        <v>2.9</v>
      </c>
      <c r="BX43" s="68">
        <f t="shared" si="22"/>
        <v>2.9</v>
      </c>
      <c r="BY43" s="68">
        <f t="shared" si="23"/>
        <v>2.9</v>
      </c>
      <c r="BZ43" s="68">
        <f t="shared" si="24"/>
        <v>2.9</v>
      </c>
    </row>
    <row r="44" spans="1:101">
      <c r="A44" s="181"/>
      <c r="B44" s="179" t="s">
        <v>81</v>
      </c>
      <c r="C44" s="180"/>
      <c r="D44" s="923">
        <v>-1.5</v>
      </c>
      <c r="E44" s="923">
        <v>-1.25</v>
      </c>
      <c r="F44" s="923">
        <v>-0.75</v>
      </c>
      <c r="G44" s="923">
        <v>-0.75</v>
      </c>
      <c r="H44" s="923">
        <v>-0.75</v>
      </c>
      <c r="I44" s="923">
        <v>-0.75</v>
      </c>
      <c r="J44" s="925" t="s">
        <v>14</v>
      </c>
      <c r="K44" s="224">
        <v>0</v>
      </c>
      <c r="O44" s="249"/>
      <c r="P44" s="246" t="s">
        <v>81</v>
      </c>
      <c r="Q44" s="247"/>
      <c r="R44" s="913">
        <v>-2.5</v>
      </c>
      <c r="S44" s="914">
        <v>-3</v>
      </c>
      <c r="T44" s="914">
        <v>-3.5</v>
      </c>
      <c r="U44" s="914">
        <v>-4</v>
      </c>
      <c r="V44" s="914">
        <v>-4.5</v>
      </c>
      <c r="W44" s="914">
        <v>-5.5</v>
      </c>
      <c r="X44" s="878" t="s">
        <v>14</v>
      </c>
      <c r="Y44" s="224"/>
      <c r="AM44" s="68">
        <f t="shared" si="32"/>
        <v>6.875</v>
      </c>
      <c r="AN44" s="68">
        <v>104.49399999999999</v>
      </c>
      <c r="AO44" s="68">
        <v>104.39399999999999</v>
      </c>
      <c r="AP44" s="68">
        <v>104.39399999999999</v>
      </c>
      <c r="AR44" s="68">
        <f t="shared" si="33"/>
        <v>6.875</v>
      </c>
      <c r="AT44" s="68">
        <v>0.72399999999999187</v>
      </c>
      <c r="AU44" s="68">
        <v>0.72399999999999187</v>
      </c>
      <c r="AV44" s="68"/>
      <c r="AW44" s="68">
        <f t="shared" si="30"/>
        <v>0.72399999999999187</v>
      </c>
      <c r="AX44" s="68"/>
      <c r="AY44" s="68"/>
      <c r="AZ44" s="68"/>
      <c r="BR44" s="25">
        <v>12.5</v>
      </c>
      <c r="BS44" s="14">
        <f t="shared" si="21"/>
        <v>2.2749999999999999</v>
      </c>
      <c r="BV44" s="60">
        <v>5.5</v>
      </c>
      <c r="BW44" s="68">
        <f t="shared" si="28"/>
        <v>2.9</v>
      </c>
      <c r="BX44" s="68">
        <f t="shared" si="22"/>
        <v>2.9</v>
      </c>
      <c r="BY44" s="68">
        <f t="shared" si="23"/>
        <v>2.9</v>
      </c>
      <c r="BZ44" s="68">
        <f t="shared" si="24"/>
        <v>2.9</v>
      </c>
    </row>
    <row r="45" spans="1:101">
      <c r="A45" s="178"/>
      <c r="B45" s="179" t="s">
        <v>82</v>
      </c>
      <c r="C45" s="180"/>
      <c r="D45" s="925" t="s">
        <v>14</v>
      </c>
      <c r="E45" s="925" t="s">
        <v>14</v>
      </c>
      <c r="F45" s="925" t="s">
        <v>14</v>
      </c>
      <c r="G45" s="925" t="s">
        <v>14</v>
      </c>
      <c r="H45" s="925" t="s">
        <v>14</v>
      </c>
      <c r="I45" s="925" t="s">
        <v>14</v>
      </c>
      <c r="J45" s="925" t="s">
        <v>14</v>
      </c>
      <c r="K45" s="224">
        <v>0</v>
      </c>
      <c r="O45" s="245"/>
      <c r="P45" s="246" t="s">
        <v>82</v>
      </c>
      <c r="Q45" s="247"/>
      <c r="R45" s="248" t="s">
        <v>14</v>
      </c>
      <c r="S45" s="248" t="s">
        <v>14</v>
      </c>
      <c r="T45" s="248" t="s">
        <v>14</v>
      </c>
      <c r="U45" s="248" t="s">
        <v>14</v>
      </c>
      <c r="V45" s="248" t="s">
        <v>14</v>
      </c>
      <c r="W45" s="248" t="s">
        <v>14</v>
      </c>
      <c r="X45" s="218" t="s">
        <v>14</v>
      </c>
      <c r="Y45" s="224"/>
      <c r="AM45" s="68">
        <f t="shared" si="32"/>
        <v>7</v>
      </c>
      <c r="AN45" s="68">
        <v>105.2135</v>
      </c>
      <c r="AO45" s="68">
        <v>105.11349999999999</v>
      </c>
      <c r="AP45" s="68">
        <v>105.11349999999999</v>
      </c>
      <c r="AR45" s="68">
        <f t="shared" si="33"/>
        <v>7</v>
      </c>
      <c r="AT45" s="68">
        <v>0.78749999999999676</v>
      </c>
      <c r="AU45" s="68">
        <v>0.78749999999999676</v>
      </c>
      <c r="AV45" s="68"/>
      <c r="AW45" s="68">
        <f t="shared" si="30"/>
        <v>0.78749999999999676</v>
      </c>
      <c r="AX45" s="68"/>
      <c r="AY45" s="68"/>
      <c r="AZ45" s="68"/>
      <c r="BR45" s="25">
        <v>12.625</v>
      </c>
      <c r="BS45" s="14">
        <f t="shared" si="21"/>
        <v>2.2749999999999999</v>
      </c>
      <c r="BV45" s="60">
        <v>5.625</v>
      </c>
      <c r="BW45" s="68">
        <f t="shared" si="28"/>
        <v>2.9</v>
      </c>
      <c r="BX45" s="68">
        <f t="shared" si="22"/>
        <v>2.9</v>
      </c>
      <c r="BY45" s="68">
        <f t="shared" si="23"/>
        <v>2.9</v>
      </c>
      <c r="BZ45" s="68">
        <f t="shared" si="24"/>
        <v>2.9</v>
      </c>
    </row>
    <row r="46" spans="1:101">
      <c r="A46" s="182"/>
      <c r="B46" s="183" t="s">
        <v>83</v>
      </c>
      <c r="C46" s="184"/>
      <c r="D46" s="925" t="s">
        <v>14</v>
      </c>
      <c r="E46" s="925" t="s">
        <v>14</v>
      </c>
      <c r="F46" s="925" t="s">
        <v>14</v>
      </c>
      <c r="G46" s="925" t="s">
        <v>14</v>
      </c>
      <c r="H46" s="925" t="s">
        <v>14</v>
      </c>
      <c r="I46" s="925" t="s">
        <v>14</v>
      </c>
      <c r="J46" s="925" t="s">
        <v>14</v>
      </c>
      <c r="K46" s="226">
        <v>0</v>
      </c>
      <c r="O46" s="250"/>
      <c r="P46" s="251" t="s">
        <v>83</v>
      </c>
      <c r="Q46" s="252"/>
      <c r="R46" s="224">
        <v>-10</v>
      </c>
      <c r="S46" s="224">
        <v>-10</v>
      </c>
      <c r="T46" s="224">
        <v>-10</v>
      </c>
      <c r="U46" s="224">
        <v>-10</v>
      </c>
      <c r="V46" s="224">
        <v>-10</v>
      </c>
      <c r="W46" s="224">
        <v>-10</v>
      </c>
      <c r="X46" s="225" t="s">
        <v>14</v>
      </c>
      <c r="Y46" s="226"/>
      <c r="AM46" s="68">
        <f t="shared" si="32"/>
        <v>7.125</v>
      </c>
      <c r="AN46" s="68">
        <v>105.9635</v>
      </c>
      <c r="AO46" s="68">
        <v>105.86349999999999</v>
      </c>
      <c r="AP46" s="68">
        <v>105.86349999999999</v>
      </c>
      <c r="AR46" s="68">
        <f t="shared" si="33"/>
        <v>7.125</v>
      </c>
      <c r="AT46" s="68">
        <v>0.84949999999999437</v>
      </c>
      <c r="AU46" s="68">
        <v>0.84949999999999437</v>
      </c>
      <c r="AV46" s="68"/>
      <c r="AW46" s="68">
        <f t="shared" si="30"/>
        <v>0.84949999999999437</v>
      </c>
      <c r="AX46" s="68"/>
      <c r="AY46" s="68"/>
      <c r="AZ46" s="68"/>
      <c r="BR46" s="25">
        <v>12.75</v>
      </c>
      <c r="BS46" s="14">
        <f t="shared" si="21"/>
        <v>2.2749999999999999</v>
      </c>
      <c r="BV46" s="60">
        <v>5.75</v>
      </c>
      <c r="BW46" s="68">
        <f t="shared" si="28"/>
        <v>2.9</v>
      </c>
      <c r="BX46" s="68">
        <f t="shared" si="22"/>
        <v>2.9</v>
      </c>
      <c r="BY46" s="68">
        <f t="shared" si="23"/>
        <v>2.9</v>
      </c>
      <c r="BZ46" s="68">
        <f t="shared" si="24"/>
        <v>2.9</v>
      </c>
    </row>
    <row r="47" spans="1:101">
      <c r="A47" s="185"/>
      <c r="B47" s="186"/>
      <c r="C47" s="186"/>
      <c r="D47" s="218"/>
      <c r="E47" s="218"/>
      <c r="F47" s="218"/>
      <c r="G47" s="218"/>
      <c r="H47" s="218"/>
      <c r="I47" s="218"/>
      <c r="J47" s="218"/>
      <c r="K47" s="218"/>
      <c r="O47" s="253"/>
      <c r="P47" s="254"/>
      <c r="Q47" s="254"/>
      <c r="R47" s="218"/>
      <c r="S47" s="218"/>
      <c r="T47" s="218"/>
      <c r="U47" s="218"/>
      <c r="V47" s="218"/>
      <c r="W47" s="218"/>
      <c r="X47" s="218"/>
      <c r="Y47" s="218"/>
      <c r="AM47" s="68">
        <f t="shared" si="32"/>
        <v>7.25</v>
      </c>
      <c r="AN47" s="68">
        <v>106.61949999999999</v>
      </c>
      <c r="AO47" s="68">
        <v>106.51949999999999</v>
      </c>
      <c r="AP47" s="68">
        <v>106.51949999999999</v>
      </c>
      <c r="AR47" s="68">
        <f t="shared" si="33"/>
        <v>7.25</v>
      </c>
      <c r="AT47" s="68">
        <v>0.84949999999999437</v>
      </c>
      <c r="AU47" s="68">
        <v>0.84949999999999437</v>
      </c>
      <c r="AV47" s="68"/>
      <c r="AW47" s="68">
        <f t="shared" si="30"/>
        <v>0.84949999999999437</v>
      </c>
      <c r="AX47" s="68"/>
      <c r="AY47" s="68"/>
      <c r="AZ47" s="68"/>
      <c r="BR47" s="25">
        <v>12.875</v>
      </c>
      <c r="BS47" s="14">
        <f t="shared" si="21"/>
        <v>2.2749999999999999</v>
      </c>
      <c r="BV47" s="60">
        <v>5.875</v>
      </c>
      <c r="BW47" s="68">
        <f t="shared" si="28"/>
        <v>2.9</v>
      </c>
      <c r="BX47" s="68">
        <f t="shared" si="22"/>
        <v>2.9</v>
      </c>
      <c r="BY47" s="68">
        <f t="shared" si="23"/>
        <v>2.9</v>
      </c>
      <c r="BZ47" s="68">
        <f t="shared" si="24"/>
        <v>2.9</v>
      </c>
    </row>
    <row r="48" spans="1:101">
      <c r="A48" s="187" t="s">
        <v>244</v>
      </c>
      <c r="B48" s="188"/>
      <c r="C48" s="188"/>
      <c r="D48" s="227" t="s">
        <v>122</v>
      </c>
      <c r="E48" s="227" t="s">
        <v>123</v>
      </c>
      <c r="F48" s="227" t="s">
        <v>124</v>
      </c>
      <c r="G48" s="227" t="s">
        <v>125</v>
      </c>
      <c r="H48" s="227" t="s">
        <v>126</v>
      </c>
      <c r="I48" s="227" t="s">
        <v>127</v>
      </c>
      <c r="J48" s="227" t="s">
        <v>128</v>
      </c>
      <c r="K48" s="221" t="s">
        <v>115</v>
      </c>
      <c r="O48" s="255" t="s">
        <v>244</v>
      </c>
      <c r="P48" s="256"/>
      <c r="Q48" s="256"/>
      <c r="R48" s="227" t="s">
        <v>122</v>
      </c>
      <c r="S48" s="227" t="s">
        <v>123</v>
      </c>
      <c r="T48" s="227" t="s">
        <v>124</v>
      </c>
      <c r="U48" s="227" t="s">
        <v>125</v>
      </c>
      <c r="V48" s="227" t="s">
        <v>126</v>
      </c>
      <c r="W48" s="227" t="s">
        <v>127</v>
      </c>
      <c r="X48" s="227" t="s">
        <v>128</v>
      </c>
      <c r="Y48" s="221"/>
      <c r="AM48" s="68">
        <f t="shared" si="32"/>
        <v>7.375</v>
      </c>
      <c r="AN48" s="68">
        <v>107.2765</v>
      </c>
      <c r="AO48" s="68">
        <v>107.17649999999999</v>
      </c>
      <c r="AP48" s="68">
        <v>107.17649999999999</v>
      </c>
      <c r="AR48" s="68">
        <f t="shared" si="33"/>
        <v>7.375</v>
      </c>
      <c r="AT48" s="68">
        <v>0.84949999999999437</v>
      </c>
      <c r="AU48" s="68">
        <v>0.84949999999999437</v>
      </c>
      <c r="AV48" s="68"/>
      <c r="AW48" s="68">
        <f t="shared" si="30"/>
        <v>0.84949999999999437</v>
      </c>
      <c r="AX48" s="68"/>
      <c r="AY48" s="68"/>
      <c r="AZ48" s="68"/>
      <c r="BR48" s="25">
        <v>13</v>
      </c>
      <c r="BS48" s="14">
        <f t="shared" si="21"/>
        <v>2.2749999999999999</v>
      </c>
      <c r="BV48" s="60">
        <v>6</v>
      </c>
      <c r="BW48" s="68">
        <f t="shared" si="28"/>
        <v>2.9</v>
      </c>
      <c r="BX48" s="68">
        <f t="shared" si="22"/>
        <v>2.9</v>
      </c>
      <c r="BY48" s="68">
        <f t="shared" si="23"/>
        <v>2.9</v>
      </c>
      <c r="BZ48" s="68">
        <f t="shared" si="24"/>
        <v>2.9</v>
      </c>
    </row>
    <row r="49" spans="1:78">
      <c r="A49" s="189" t="s">
        <v>114</v>
      </c>
      <c r="B49" s="190" t="s">
        <v>117</v>
      </c>
      <c r="C49" s="191"/>
      <c r="D49" s="228">
        <v>0</v>
      </c>
      <c r="E49" s="228">
        <v>0</v>
      </c>
      <c r="F49" s="228">
        <v>0</v>
      </c>
      <c r="G49" s="228">
        <v>0</v>
      </c>
      <c r="H49" s="228">
        <v>0</v>
      </c>
      <c r="I49" s="222">
        <v>0</v>
      </c>
      <c r="J49" s="222">
        <v>0</v>
      </c>
      <c r="K49" s="223">
        <v>0</v>
      </c>
      <c r="O49" s="257" t="s">
        <v>114</v>
      </c>
      <c r="P49" s="258" t="s">
        <v>117</v>
      </c>
      <c r="Q49" s="259"/>
      <c r="R49" s="260">
        <v>0.625</v>
      </c>
      <c r="S49" s="260">
        <v>0.625</v>
      </c>
      <c r="T49" s="260">
        <v>0.625</v>
      </c>
      <c r="U49" s="260">
        <v>0.625</v>
      </c>
      <c r="V49" s="260">
        <v>0.625</v>
      </c>
      <c r="W49" s="260">
        <v>0.625</v>
      </c>
      <c r="X49" s="260">
        <v>0.75</v>
      </c>
      <c r="Y49" s="223"/>
      <c r="AM49" s="68">
        <f t="shared" si="32"/>
        <v>7.5</v>
      </c>
      <c r="AN49" s="68">
        <v>107.80749999999999</v>
      </c>
      <c r="AO49" s="68">
        <v>107.7075</v>
      </c>
      <c r="AP49" s="68">
        <v>107.7075</v>
      </c>
      <c r="AR49" s="68">
        <f t="shared" si="33"/>
        <v>7.5</v>
      </c>
      <c r="AT49" s="68">
        <v>0.84949999999999437</v>
      </c>
      <c r="AU49" s="68">
        <v>0.84949999999999437</v>
      </c>
      <c r="AV49" s="68"/>
      <c r="AW49" s="68">
        <f t="shared" si="30"/>
        <v>0.84949999999999437</v>
      </c>
      <c r="AX49" s="68"/>
      <c r="AY49" s="68"/>
      <c r="AZ49" s="68"/>
      <c r="BR49" s="25">
        <v>13.125</v>
      </c>
      <c r="BS49" s="14">
        <f t="shared" si="21"/>
        <v>2.2749999999999999</v>
      </c>
      <c r="BV49" s="60">
        <v>6.125</v>
      </c>
      <c r="BW49" s="68">
        <f t="shared" si="28"/>
        <v>2.9</v>
      </c>
      <c r="BX49" s="68">
        <f t="shared" si="22"/>
        <v>2.9</v>
      </c>
      <c r="BY49" s="68">
        <f t="shared" si="23"/>
        <v>2.9</v>
      </c>
      <c r="BZ49" s="68">
        <f t="shared" si="24"/>
        <v>2.9</v>
      </c>
    </row>
    <row r="50" spans="1:78">
      <c r="A50" s="192" t="s">
        <v>41</v>
      </c>
      <c r="B50" s="193" t="s">
        <v>118</v>
      </c>
      <c r="C50" s="194"/>
      <c r="D50" s="229">
        <v>0</v>
      </c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4">
        <v>0</v>
      </c>
      <c r="O50" s="261" t="s">
        <v>41</v>
      </c>
      <c r="P50" s="262" t="s">
        <v>118</v>
      </c>
      <c r="Q50" s="263"/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4"/>
      <c r="AM50" s="68">
        <f t="shared" si="32"/>
        <v>7.625</v>
      </c>
      <c r="AN50" s="68">
        <v>108.2765</v>
      </c>
      <c r="AO50" s="68">
        <v>108.17649999999999</v>
      </c>
      <c r="AP50" s="68">
        <v>108.17649999999999</v>
      </c>
      <c r="AR50" s="68">
        <f t="shared" si="33"/>
        <v>7.625</v>
      </c>
      <c r="AT50" s="68">
        <v>0.84949999999999437</v>
      </c>
      <c r="AU50" s="68">
        <v>0.84949999999999437</v>
      </c>
      <c r="AV50" s="68"/>
      <c r="AW50" s="68">
        <f t="shared" si="30"/>
        <v>0.84949999999999437</v>
      </c>
      <c r="AX50" s="68"/>
      <c r="AY50" s="68"/>
      <c r="AZ50" s="68"/>
      <c r="BV50" s="60">
        <v>6.25</v>
      </c>
      <c r="BW50" s="68">
        <f t="shared" si="28"/>
        <v>2.9</v>
      </c>
      <c r="BX50" s="68">
        <f t="shared" si="22"/>
        <v>2.9</v>
      </c>
      <c r="BY50" s="68">
        <f t="shared" si="23"/>
        <v>2.9</v>
      </c>
      <c r="BZ50" s="68">
        <f t="shared" si="24"/>
        <v>2.9</v>
      </c>
    </row>
    <row r="51" spans="1:78">
      <c r="A51" s="192" t="s">
        <v>42</v>
      </c>
      <c r="B51" s="193" t="s">
        <v>119</v>
      </c>
      <c r="C51" s="194"/>
      <c r="D51" s="229">
        <v>-1</v>
      </c>
      <c r="E51" s="229">
        <v>-1</v>
      </c>
      <c r="F51" s="229">
        <v>-1</v>
      </c>
      <c r="G51" s="229">
        <v>-0.5</v>
      </c>
      <c r="H51" s="229">
        <v>0</v>
      </c>
      <c r="I51" s="218">
        <v>0</v>
      </c>
      <c r="J51" s="229">
        <v>0</v>
      </c>
      <c r="K51" s="224">
        <v>0</v>
      </c>
      <c r="O51" s="261" t="s">
        <v>42</v>
      </c>
      <c r="P51" s="262" t="s">
        <v>119</v>
      </c>
      <c r="Q51" s="263"/>
      <c r="R51" s="229">
        <v>-1</v>
      </c>
      <c r="S51" s="229">
        <v>-1</v>
      </c>
      <c r="T51" s="229">
        <v>-1</v>
      </c>
      <c r="U51" s="264">
        <v>-1.5</v>
      </c>
      <c r="V51" s="264">
        <v>-2</v>
      </c>
      <c r="W51" s="264">
        <v>-3</v>
      </c>
      <c r="X51" s="229" t="s">
        <v>14</v>
      </c>
      <c r="Y51" s="224"/>
      <c r="AM51" s="68">
        <f t="shared" si="32"/>
        <v>7.75</v>
      </c>
      <c r="AN51" s="68">
        <v>108.71449999999999</v>
      </c>
      <c r="AO51" s="68">
        <v>108.61449999999999</v>
      </c>
      <c r="AP51" s="68">
        <v>108.61449999999999</v>
      </c>
      <c r="AR51" s="68">
        <f t="shared" si="33"/>
        <v>7.75</v>
      </c>
      <c r="AT51" s="68">
        <v>0.84949999999999437</v>
      </c>
      <c r="AU51" s="68">
        <v>0.84949999999999437</v>
      </c>
      <c r="AV51" s="68"/>
      <c r="AW51" s="68">
        <f t="shared" si="30"/>
        <v>0.84949999999999437</v>
      </c>
      <c r="AX51" s="68"/>
      <c r="AY51" s="68"/>
      <c r="AZ51" s="68"/>
    </row>
    <row r="52" spans="1:78">
      <c r="A52" s="182"/>
      <c r="B52" s="195" t="s">
        <v>120</v>
      </c>
      <c r="C52" s="196"/>
      <c r="D52" s="225">
        <v>-1</v>
      </c>
      <c r="E52" s="225">
        <v>-1</v>
      </c>
      <c r="F52" s="225">
        <v>-1</v>
      </c>
      <c r="G52" s="225">
        <v>-1</v>
      </c>
      <c r="H52" s="225">
        <v>-1</v>
      </c>
      <c r="I52" s="225">
        <v>-1</v>
      </c>
      <c r="J52" s="225">
        <v>0</v>
      </c>
      <c r="K52" s="226">
        <v>0</v>
      </c>
      <c r="O52" s="250"/>
      <c r="P52" s="265" t="s">
        <v>120</v>
      </c>
      <c r="Q52" s="266"/>
      <c r="R52" s="225">
        <v>-2.625</v>
      </c>
      <c r="S52" s="225">
        <v>-2.625</v>
      </c>
      <c r="T52" s="225">
        <v>-2.625</v>
      </c>
      <c r="U52" s="267">
        <v>-3.25</v>
      </c>
      <c r="V52" s="267">
        <v>-3.625</v>
      </c>
      <c r="W52" s="267">
        <v>-5</v>
      </c>
      <c r="X52" s="230" t="s">
        <v>14</v>
      </c>
      <c r="Y52" s="226"/>
      <c r="AM52" s="68">
        <f t="shared" si="32"/>
        <v>7.875</v>
      </c>
      <c r="AN52" s="68">
        <v>109.1515</v>
      </c>
      <c r="AO52" s="68">
        <v>109.05149999999999</v>
      </c>
      <c r="AP52" s="68">
        <v>109.05149999999999</v>
      </c>
      <c r="AR52" s="68">
        <f t="shared" si="33"/>
        <v>7.875</v>
      </c>
      <c r="AT52" s="68">
        <v>0.84949999999999437</v>
      </c>
      <c r="AU52" s="68">
        <v>0.84949999999999437</v>
      </c>
      <c r="AV52" s="68"/>
      <c r="AW52" s="68">
        <f t="shared" si="30"/>
        <v>0.84949999999999437</v>
      </c>
      <c r="AX52" s="68"/>
      <c r="AY52" s="68"/>
      <c r="AZ52" s="68"/>
    </row>
    <row r="53" spans="1:78">
      <c r="A53" s="197" t="s">
        <v>72</v>
      </c>
      <c r="B53" s="195" t="s">
        <v>74</v>
      </c>
      <c r="C53" s="146"/>
      <c r="D53" s="230">
        <v>0</v>
      </c>
      <c r="E53" s="230">
        <v>0</v>
      </c>
      <c r="F53" s="230">
        <v>0</v>
      </c>
      <c r="G53" s="230">
        <v>0</v>
      </c>
      <c r="H53" s="230">
        <v>0</v>
      </c>
      <c r="I53" s="231">
        <v>0</v>
      </c>
      <c r="J53" s="229" t="s">
        <v>14</v>
      </c>
      <c r="K53" s="232">
        <v>0</v>
      </c>
      <c r="O53" s="268" t="s">
        <v>72</v>
      </c>
      <c r="P53" s="265" t="s">
        <v>74</v>
      </c>
      <c r="Q53" s="269"/>
      <c r="R53" s="230">
        <v>-0.25</v>
      </c>
      <c r="S53" s="230">
        <v>-0.25</v>
      </c>
      <c r="T53" s="230">
        <v>-0.25</v>
      </c>
      <c r="U53" s="230">
        <v>-0.25</v>
      </c>
      <c r="V53" s="230">
        <v>-0.25</v>
      </c>
      <c r="W53" s="231">
        <v>-0.25</v>
      </c>
      <c r="X53" s="231" t="s">
        <v>14</v>
      </c>
      <c r="Y53" s="232"/>
      <c r="AM53" s="68">
        <f t="shared" si="32"/>
        <v>8</v>
      </c>
      <c r="AN53" s="68">
        <v>109.58949999999999</v>
      </c>
      <c r="AO53" s="68">
        <v>109.48949999999999</v>
      </c>
      <c r="AP53" s="68">
        <v>109.48949999999999</v>
      </c>
      <c r="AR53" s="68">
        <f t="shared" si="33"/>
        <v>8</v>
      </c>
      <c r="AT53" s="68">
        <v>0.84949999999999437</v>
      </c>
      <c r="AU53" s="68">
        <v>0.84949999999999437</v>
      </c>
      <c r="AV53" s="68"/>
      <c r="AW53" s="68">
        <f t="shared" si="30"/>
        <v>0.84949999999999437</v>
      </c>
      <c r="AX53" s="68"/>
      <c r="AY53" s="68"/>
      <c r="AZ53" s="68"/>
    </row>
    <row r="54" spans="1:78">
      <c r="A54" s="198" t="s">
        <v>76</v>
      </c>
      <c r="B54" s="190" t="s">
        <v>77</v>
      </c>
      <c r="C54" s="199"/>
      <c r="D54" s="228">
        <v>0</v>
      </c>
      <c r="E54" s="228">
        <v>0</v>
      </c>
      <c r="F54" s="228">
        <v>0</v>
      </c>
      <c r="G54" s="228">
        <v>0</v>
      </c>
      <c r="H54" s="228">
        <v>0</v>
      </c>
      <c r="I54" s="228">
        <v>0</v>
      </c>
      <c r="J54" s="228">
        <v>0</v>
      </c>
      <c r="K54" s="233">
        <v>0</v>
      </c>
      <c r="O54" s="270" t="s">
        <v>76</v>
      </c>
      <c r="P54" s="258" t="s">
        <v>77</v>
      </c>
      <c r="Q54" s="271"/>
      <c r="R54" s="228">
        <v>0</v>
      </c>
      <c r="S54" s="228">
        <v>0</v>
      </c>
      <c r="T54" s="228">
        <v>0</v>
      </c>
      <c r="U54" s="228">
        <v>0</v>
      </c>
      <c r="V54" s="228">
        <v>0</v>
      </c>
      <c r="W54" s="228">
        <v>0</v>
      </c>
      <c r="X54" s="228">
        <v>0</v>
      </c>
      <c r="Y54" s="233"/>
      <c r="AM54" s="68">
        <f t="shared" si="32"/>
        <v>8.125</v>
      </c>
      <c r="AN54" s="68">
        <v>110.0265</v>
      </c>
      <c r="AO54" s="68">
        <v>109.92649999999999</v>
      </c>
      <c r="AP54" s="68">
        <v>109.92649999999999</v>
      </c>
      <c r="AR54" s="68">
        <f t="shared" si="33"/>
        <v>8.125</v>
      </c>
      <c r="AT54" s="68">
        <v>0.84949999999999437</v>
      </c>
      <c r="AU54" s="68">
        <v>0.84949999999999437</v>
      </c>
      <c r="AV54" s="68"/>
      <c r="AW54" s="68">
        <f t="shared" si="30"/>
        <v>0.84949999999999437</v>
      </c>
      <c r="AX54" s="68"/>
      <c r="AY54" s="68"/>
      <c r="AZ54" s="68"/>
      <c r="BD54" s="127"/>
    </row>
    <row r="55" spans="1:78">
      <c r="A55" s="197" t="s">
        <v>78</v>
      </c>
      <c r="B55" s="200" t="s">
        <v>79</v>
      </c>
      <c r="C55" s="201"/>
      <c r="D55" s="230">
        <v>0</v>
      </c>
      <c r="E55" s="230">
        <v>0</v>
      </c>
      <c r="F55" s="230">
        <v>0</v>
      </c>
      <c r="G55" s="230">
        <v>0</v>
      </c>
      <c r="H55" s="230">
        <v>0</v>
      </c>
      <c r="I55" s="230">
        <v>0</v>
      </c>
      <c r="J55" s="229" t="s">
        <v>14</v>
      </c>
      <c r="K55" s="233">
        <v>0</v>
      </c>
      <c r="O55" s="268" t="s">
        <v>78</v>
      </c>
      <c r="P55" s="265" t="s">
        <v>79</v>
      </c>
      <c r="Q55" s="269"/>
      <c r="R55" s="230">
        <v>-0.25</v>
      </c>
      <c r="S55" s="230">
        <v>-0.25</v>
      </c>
      <c r="T55" s="230">
        <v>-0.25</v>
      </c>
      <c r="U55" s="230">
        <v>-0.25</v>
      </c>
      <c r="V55" s="230">
        <v>-0.375</v>
      </c>
      <c r="W55" s="230">
        <v>-0.375</v>
      </c>
      <c r="X55" s="230" t="s">
        <v>14</v>
      </c>
      <c r="Y55" s="233"/>
      <c r="AM55" s="68">
        <f t="shared" si="32"/>
        <v>8.25</v>
      </c>
      <c r="AN55" s="68">
        <v>110.4015</v>
      </c>
      <c r="AO55" s="68">
        <v>110.30149999999999</v>
      </c>
      <c r="AP55" s="68">
        <v>110.30149999999999</v>
      </c>
      <c r="AR55" s="68">
        <f t="shared" si="33"/>
        <v>8.25</v>
      </c>
      <c r="AT55" s="68">
        <v>0.84949999999999437</v>
      </c>
      <c r="AU55" s="68">
        <v>0.84949999999999437</v>
      </c>
      <c r="AV55" s="68"/>
      <c r="AW55" s="68">
        <f t="shared" si="30"/>
        <v>0.84949999999999437</v>
      </c>
      <c r="AX55" s="68"/>
      <c r="AY55" s="68"/>
      <c r="AZ55" s="68"/>
      <c r="BD55" s="127"/>
    </row>
    <row r="56" spans="1:78">
      <c r="A56" s="198"/>
      <c r="B56" s="190" t="s">
        <v>130</v>
      </c>
      <c r="C56" s="199"/>
      <c r="D56" s="228">
        <v>0</v>
      </c>
      <c r="E56" s="228">
        <v>0</v>
      </c>
      <c r="F56" s="228">
        <v>0</v>
      </c>
      <c r="G56" s="228">
        <v>0</v>
      </c>
      <c r="H56" s="228">
        <v>0</v>
      </c>
      <c r="I56" s="228">
        <v>0</v>
      </c>
      <c r="J56" s="228">
        <v>0</v>
      </c>
      <c r="K56" s="234">
        <v>0</v>
      </c>
      <c r="O56" s="270"/>
      <c r="P56" s="258" t="s">
        <v>130</v>
      </c>
      <c r="Q56" s="271"/>
      <c r="R56" s="272">
        <v>-0.75</v>
      </c>
      <c r="S56" s="272">
        <v>-0.75</v>
      </c>
      <c r="T56" s="272">
        <v>-0.875</v>
      </c>
      <c r="U56" s="272">
        <v>-0.875</v>
      </c>
      <c r="V56" s="272">
        <v>-0.875</v>
      </c>
      <c r="W56" s="272">
        <v>-1.75</v>
      </c>
      <c r="X56" s="228">
        <v>-2</v>
      </c>
      <c r="Y56" s="234"/>
      <c r="AM56" s="68">
        <f t="shared" si="32"/>
        <v>8.375</v>
      </c>
      <c r="AN56" s="68">
        <v>110.7765</v>
      </c>
      <c r="AO56" s="68">
        <v>110.67649999999999</v>
      </c>
      <c r="AP56" s="68">
        <v>110.67649999999999</v>
      </c>
      <c r="AR56" s="68">
        <f t="shared" si="33"/>
        <v>8.375</v>
      </c>
      <c r="AT56" s="68">
        <v>0.84949999999999437</v>
      </c>
      <c r="AU56" s="68">
        <v>0.84949999999999437</v>
      </c>
      <c r="AV56" s="68"/>
      <c r="AW56" s="68">
        <f t="shared" si="30"/>
        <v>0.84949999999999437</v>
      </c>
      <c r="AX56" s="68"/>
      <c r="AY56" s="68"/>
      <c r="AZ56" s="68"/>
      <c r="BD56" s="127"/>
    </row>
    <row r="57" spans="1:78">
      <c r="A57" s="202"/>
      <c r="B57" s="193" t="s">
        <v>131</v>
      </c>
      <c r="C57" s="139"/>
      <c r="D57" s="229">
        <v>0</v>
      </c>
      <c r="E57" s="229">
        <v>0</v>
      </c>
      <c r="F57" s="229">
        <v>0</v>
      </c>
      <c r="G57" s="229">
        <v>0</v>
      </c>
      <c r="H57" s="229">
        <v>0</v>
      </c>
      <c r="I57" s="229">
        <v>0</v>
      </c>
      <c r="J57" s="229">
        <v>0</v>
      </c>
      <c r="K57" s="233">
        <v>0</v>
      </c>
      <c r="O57" s="273"/>
      <c r="P57" s="262" t="s">
        <v>131</v>
      </c>
      <c r="Q57" s="274"/>
      <c r="R57" s="239">
        <v>-0.25</v>
      </c>
      <c r="S57" s="239">
        <v>-0.25</v>
      </c>
      <c r="T57" s="239">
        <v>-0.25</v>
      </c>
      <c r="U57" s="239">
        <v>-0.25</v>
      </c>
      <c r="V57" s="239">
        <v>-0.25</v>
      </c>
      <c r="W57" s="239">
        <v>-0.25</v>
      </c>
      <c r="X57" s="239">
        <v>-0.5</v>
      </c>
      <c r="Y57" s="233"/>
      <c r="AM57" s="68">
        <f t="shared" si="32"/>
        <v>8.5</v>
      </c>
      <c r="AN57" s="68">
        <v>111.2765</v>
      </c>
      <c r="AO57" s="68">
        <v>111.17649999999999</v>
      </c>
      <c r="AP57" s="68">
        <v>111.17649999999999</v>
      </c>
      <c r="AR57" s="68">
        <f t="shared" si="33"/>
        <v>8.5</v>
      </c>
      <c r="AT57" s="68">
        <v>0.97449999999999437</v>
      </c>
      <c r="AU57" s="68">
        <v>0.97449999999999437</v>
      </c>
      <c r="AV57" s="68"/>
      <c r="AW57" s="68">
        <f t="shared" si="30"/>
        <v>0.97449999999999437</v>
      </c>
      <c r="AX57" s="68"/>
      <c r="AY57" s="68"/>
      <c r="AZ57" s="68"/>
      <c r="BD57" s="127"/>
    </row>
    <row r="58" spans="1:78">
      <c r="A58" s="203" t="s">
        <v>47</v>
      </c>
      <c r="B58" s="193" t="s">
        <v>247</v>
      </c>
      <c r="C58" s="142"/>
      <c r="D58" s="229">
        <v>0</v>
      </c>
      <c r="E58" s="229">
        <v>0</v>
      </c>
      <c r="F58" s="229">
        <v>0</v>
      </c>
      <c r="G58" s="229">
        <v>0</v>
      </c>
      <c r="H58" s="229">
        <v>0</v>
      </c>
      <c r="I58" s="229">
        <v>0</v>
      </c>
      <c r="J58" s="229">
        <v>0</v>
      </c>
      <c r="K58" s="233">
        <v>0</v>
      </c>
      <c r="O58" s="275" t="s">
        <v>47</v>
      </c>
      <c r="P58" s="262" t="s">
        <v>247</v>
      </c>
      <c r="Q58" s="274"/>
      <c r="R58" s="229">
        <v>0</v>
      </c>
      <c r="S58" s="229">
        <v>0</v>
      </c>
      <c r="T58" s="229">
        <v>0</v>
      </c>
      <c r="U58" s="229">
        <v>0</v>
      </c>
      <c r="V58" s="229">
        <v>0</v>
      </c>
      <c r="W58" s="229">
        <v>0</v>
      </c>
      <c r="X58" s="229">
        <v>0</v>
      </c>
      <c r="Y58" s="233"/>
      <c r="AM58" s="68">
        <f t="shared" si="32"/>
        <v>8.625</v>
      </c>
      <c r="AN58" s="68">
        <v>111.6515</v>
      </c>
      <c r="AO58" s="68">
        <v>111.55149999999999</v>
      </c>
      <c r="AP58" s="68">
        <v>111.55149999999999</v>
      </c>
      <c r="AR58" s="68">
        <f t="shared" si="33"/>
        <v>8.625</v>
      </c>
      <c r="AT58" s="68">
        <v>0.97449999999999437</v>
      </c>
      <c r="AU58" s="68">
        <v>0.97449999999999437</v>
      </c>
      <c r="AV58" s="68"/>
      <c r="AW58" s="68">
        <f t="shared" si="30"/>
        <v>0.97449999999999437</v>
      </c>
      <c r="AX58" s="68"/>
      <c r="AY58" s="68"/>
      <c r="AZ58" s="68"/>
      <c r="BD58" s="127"/>
    </row>
    <row r="59" spans="1:78">
      <c r="A59" s="204"/>
      <c r="B59" s="205" t="s">
        <v>248</v>
      </c>
      <c r="C59" s="139"/>
      <c r="D59" s="229">
        <v>0</v>
      </c>
      <c r="E59" s="229">
        <v>0</v>
      </c>
      <c r="F59" s="229">
        <v>0</v>
      </c>
      <c r="G59" s="229">
        <v>0</v>
      </c>
      <c r="H59" s="229">
        <v>0</v>
      </c>
      <c r="I59" s="229">
        <v>0</v>
      </c>
      <c r="J59" s="229">
        <v>0</v>
      </c>
      <c r="K59" s="233">
        <v>0</v>
      </c>
      <c r="O59" s="276"/>
      <c r="P59" s="262" t="s">
        <v>248</v>
      </c>
      <c r="Q59" s="274"/>
      <c r="R59" s="229">
        <v>0</v>
      </c>
      <c r="S59" s="229">
        <v>0</v>
      </c>
      <c r="T59" s="229">
        <v>0</v>
      </c>
      <c r="U59" s="229">
        <v>0</v>
      </c>
      <c r="V59" s="229">
        <v>0</v>
      </c>
      <c r="W59" s="229">
        <v>0</v>
      </c>
      <c r="X59" s="229">
        <v>0</v>
      </c>
      <c r="Y59" s="233"/>
      <c r="AM59" s="68">
        <f t="shared" si="32"/>
        <v>8.75</v>
      </c>
      <c r="AN59" s="68">
        <v>112.0265</v>
      </c>
      <c r="AO59" s="68">
        <v>111.92649999999999</v>
      </c>
      <c r="AP59" s="68">
        <v>111.92649999999999</v>
      </c>
      <c r="AR59" s="68">
        <f t="shared" si="33"/>
        <v>8.75</v>
      </c>
      <c r="AT59" s="68">
        <v>0.97449999999999437</v>
      </c>
      <c r="AU59" s="68">
        <v>0.97449999999999437</v>
      </c>
      <c r="AV59" s="68"/>
      <c r="AW59" s="68">
        <f t="shared" si="30"/>
        <v>0.97449999999999437</v>
      </c>
      <c r="AX59" s="68"/>
      <c r="AY59" s="68"/>
      <c r="AZ59" s="68"/>
      <c r="BD59" s="127"/>
    </row>
    <row r="60" spans="1:78">
      <c r="A60" s="202"/>
      <c r="B60" s="193" t="s">
        <v>50</v>
      </c>
      <c r="C60" s="142"/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  <c r="K60" s="233">
        <v>0</v>
      </c>
      <c r="O60" s="273"/>
      <c r="P60" s="262" t="s">
        <v>50</v>
      </c>
      <c r="Q60" s="274"/>
      <c r="R60" s="229">
        <v>0</v>
      </c>
      <c r="S60" s="229">
        <v>0</v>
      </c>
      <c r="T60" s="229">
        <v>0</v>
      </c>
      <c r="U60" s="229">
        <v>0</v>
      </c>
      <c r="V60" s="229">
        <v>0</v>
      </c>
      <c r="W60" s="229">
        <v>0</v>
      </c>
      <c r="X60" s="229">
        <v>-0.5</v>
      </c>
      <c r="Y60" s="233"/>
      <c r="AM60" s="68">
        <f t="shared" si="32"/>
        <v>8.875</v>
      </c>
      <c r="AN60" s="68">
        <v>112.33949999999999</v>
      </c>
      <c r="AO60" s="68">
        <v>112.23949999999999</v>
      </c>
      <c r="AP60" s="68">
        <v>112.23949999999999</v>
      </c>
      <c r="AR60" s="68">
        <f t="shared" si="33"/>
        <v>8.875</v>
      </c>
      <c r="AT60" s="68">
        <v>0.97449999999999437</v>
      </c>
      <c r="AU60" s="68">
        <v>0.97449999999999437</v>
      </c>
      <c r="AV60" s="68"/>
      <c r="AW60" s="68">
        <f t="shared" si="30"/>
        <v>0.97449999999999437</v>
      </c>
      <c r="AX60" s="68"/>
      <c r="AY60" s="68"/>
      <c r="AZ60" s="68"/>
      <c r="BD60" s="127"/>
    </row>
    <row r="61" spans="1:78">
      <c r="A61" s="202"/>
      <c r="B61" s="205" t="s">
        <v>51</v>
      </c>
      <c r="C61" s="139"/>
      <c r="D61" s="229">
        <v>0</v>
      </c>
      <c r="E61" s="229">
        <v>0</v>
      </c>
      <c r="F61" s="229">
        <v>0</v>
      </c>
      <c r="G61" s="229">
        <v>0</v>
      </c>
      <c r="H61" s="229">
        <v>0</v>
      </c>
      <c r="I61" s="229">
        <v>0</v>
      </c>
      <c r="J61" s="229" t="s">
        <v>14</v>
      </c>
      <c r="K61" s="233">
        <v>0</v>
      </c>
      <c r="O61" s="273"/>
      <c r="P61" s="262" t="s">
        <v>51</v>
      </c>
      <c r="Q61" s="274"/>
      <c r="R61" s="229">
        <v>0</v>
      </c>
      <c r="S61" s="229">
        <v>0</v>
      </c>
      <c r="T61" s="229">
        <v>-0.125</v>
      </c>
      <c r="U61" s="229">
        <v>-0.125</v>
      </c>
      <c r="V61" s="229">
        <v>-0.25</v>
      </c>
      <c r="W61" s="229">
        <v>-0.5</v>
      </c>
      <c r="X61" s="229">
        <v>-1.75</v>
      </c>
      <c r="Y61" s="233"/>
      <c r="AM61" s="68">
        <f t="shared" si="32"/>
        <v>9</v>
      </c>
      <c r="AN61" s="68">
        <v>112.58949999999999</v>
      </c>
      <c r="AO61" s="68">
        <v>112.48949999999999</v>
      </c>
      <c r="AP61" s="68">
        <v>112.48949999999999</v>
      </c>
      <c r="AR61" s="68">
        <f t="shared" si="33"/>
        <v>9</v>
      </c>
      <c r="AT61" s="68">
        <v>0.97449999999999437</v>
      </c>
      <c r="AU61" s="68">
        <v>0.97449999999999437</v>
      </c>
      <c r="AV61" s="68"/>
      <c r="AW61" s="68">
        <f t="shared" si="30"/>
        <v>0.97449999999999437</v>
      </c>
      <c r="AX61" s="68"/>
      <c r="AY61" s="68"/>
      <c r="AZ61" s="68"/>
      <c r="BD61" s="127"/>
    </row>
    <row r="62" spans="1:78">
      <c r="A62" s="202"/>
      <c r="B62" s="193" t="s">
        <v>52</v>
      </c>
      <c r="C62" s="142"/>
      <c r="D62" s="229">
        <v>0</v>
      </c>
      <c r="E62" s="229">
        <v>0</v>
      </c>
      <c r="F62" s="229">
        <v>0</v>
      </c>
      <c r="G62" s="229">
        <v>0</v>
      </c>
      <c r="H62" s="229">
        <v>0</v>
      </c>
      <c r="I62" s="229" t="s">
        <v>14</v>
      </c>
      <c r="J62" s="229" t="s">
        <v>14</v>
      </c>
      <c r="K62" s="233">
        <v>0</v>
      </c>
      <c r="O62" s="273"/>
      <c r="P62" s="262" t="s">
        <v>52</v>
      </c>
      <c r="Q62" s="274"/>
      <c r="R62" s="229">
        <v>-0.375</v>
      </c>
      <c r="S62" s="229">
        <v>-0.375</v>
      </c>
      <c r="T62" s="229">
        <v>-0.5</v>
      </c>
      <c r="U62" s="229">
        <v>-0.75</v>
      </c>
      <c r="V62" s="229">
        <v>-1</v>
      </c>
      <c r="W62" s="874">
        <v>-1</v>
      </c>
      <c r="X62" s="874">
        <v>-3.5</v>
      </c>
      <c r="Y62" s="233"/>
      <c r="AM62" s="68">
        <f t="shared" si="32"/>
        <v>9.125</v>
      </c>
      <c r="AN62" s="68">
        <v>112.83949999999999</v>
      </c>
      <c r="AO62" s="68">
        <v>112.73949999999999</v>
      </c>
      <c r="AP62" s="68">
        <v>112.73949999999999</v>
      </c>
      <c r="AR62" s="68">
        <f t="shared" si="33"/>
        <v>9.125</v>
      </c>
      <c r="AT62" s="68">
        <v>0.97449999999999437</v>
      </c>
      <c r="AU62" s="68">
        <v>0.97449999999999437</v>
      </c>
      <c r="AV62" s="68"/>
      <c r="AW62" s="68">
        <f t="shared" si="30"/>
        <v>0.97449999999999437</v>
      </c>
      <c r="AX62" s="68"/>
      <c r="AY62" s="68"/>
      <c r="AZ62" s="68"/>
      <c r="BD62" s="127"/>
    </row>
    <row r="63" spans="1:78">
      <c r="A63" s="202"/>
      <c r="B63" s="193" t="s">
        <v>53</v>
      </c>
      <c r="C63" s="142"/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 t="s">
        <v>14</v>
      </c>
      <c r="J63" s="229" t="s">
        <v>14</v>
      </c>
      <c r="K63" s="233">
        <v>0</v>
      </c>
      <c r="O63" s="273"/>
      <c r="P63" s="262" t="s">
        <v>53</v>
      </c>
      <c r="Q63" s="274"/>
      <c r="R63" s="229">
        <v>-0.75</v>
      </c>
      <c r="S63" s="229">
        <v>-0.75</v>
      </c>
      <c r="T63" s="229">
        <v>-0.75</v>
      </c>
      <c r="U63" s="229">
        <v>-1.125</v>
      </c>
      <c r="V63" s="229">
        <v>-1.25</v>
      </c>
      <c r="W63" s="874">
        <v>-1.75</v>
      </c>
      <c r="X63" s="874" t="s">
        <v>14</v>
      </c>
      <c r="Y63" s="233"/>
      <c r="AM63" s="68">
        <f t="shared" si="32"/>
        <v>9.25</v>
      </c>
      <c r="AN63" s="68">
        <v>113.08949999999999</v>
      </c>
      <c r="AO63" s="68">
        <v>112.98949999999999</v>
      </c>
      <c r="AP63" s="68">
        <v>112.98949999999999</v>
      </c>
      <c r="AR63" s="68">
        <f t="shared" si="33"/>
        <v>9.25</v>
      </c>
      <c r="AT63" s="68">
        <v>0.97449999999999437</v>
      </c>
      <c r="AU63" s="68">
        <v>0.97449999999999437</v>
      </c>
      <c r="AV63" s="68"/>
      <c r="AW63" s="68">
        <f t="shared" si="30"/>
        <v>0.97449999999999437</v>
      </c>
      <c r="AX63" s="68"/>
      <c r="AY63" s="68"/>
      <c r="AZ63" s="68"/>
      <c r="BD63" s="127"/>
    </row>
    <row r="64" spans="1:78">
      <c r="A64" s="202"/>
      <c r="B64" s="195" t="s">
        <v>54</v>
      </c>
      <c r="C64" s="146"/>
      <c r="D64" s="230">
        <v>0</v>
      </c>
      <c r="E64" s="230">
        <v>0</v>
      </c>
      <c r="F64" s="230">
        <v>0</v>
      </c>
      <c r="G64" s="230">
        <v>0</v>
      </c>
      <c r="H64" s="230">
        <v>0</v>
      </c>
      <c r="I64" s="229" t="s">
        <v>14</v>
      </c>
      <c r="J64" s="229" t="s">
        <v>14</v>
      </c>
      <c r="K64" s="232">
        <v>0</v>
      </c>
      <c r="O64" s="273"/>
      <c r="P64" s="265" t="s">
        <v>54</v>
      </c>
      <c r="Q64" s="269"/>
      <c r="R64" s="230">
        <v>-1.5</v>
      </c>
      <c r="S64" s="230">
        <v>-1.5</v>
      </c>
      <c r="T64" s="230">
        <v>-1.5</v>
      </c>
      <c r="U64" s="230">
        <v>-1.5</v>
      </c>
      <c r="V64" s="230">
        <v>-2</v>
      </c>
      <c r="W64" s="874">
        <v>-2.5</v>
      </c>
      <c r="X64" s="874" t="s">
        <v>14</v>
      </c>
      <c r="Y64" s="232"/>
      <c r="AM64" s="68">
        <f t="shared" si="32"/>
        <v>9.375</v>
      </c>
      <c r="AN64" s="68">
        <v>113.33949999999999</v>
      </c>
      <c r="AO64" s="68">
        <v>113.23949999999999</v>
      </c>
      <c r="AP64" s="68">
        <v>113.23949999999999</v>
      </c>
      <c r="AR64" s="68">
        <f t="shared" si="33"/>
        <v>9.375</v>
      </c>
      <c r="AT64" s="68">
        <v>0.97449999999999437</v>
      </c>
      <c r="AU64" s="68">
        <v>0.97449999999999437</v>
      </c>
      <c r="AV64" s="68"/>
      <c r="AW64" s="68">
        <f t="shared" si="30"/>
        <v>0.97449999999999437</v>
      </c>
      <c r="AX64" s="68"/>
      <c r="AY64" s="68"/>
      <c r="AZ64" s="68"/>
      <c r="BD64" s="127"/>
    </row>
    <row r="65" spans="1:56">
      <c r="A65" s="206" t="s">
        <v>56</v>
      </c>
      <c r="B65" s="190" t="s">
        <v>249</v>
      </c>
      <c r="C65" s="199"/>
      <c r="D65" s="228">
        <v>0</v>
      </c>
      <c r="E65" s="228">
        <v>0</v>
      </c>
      <c r="F65" s="228">
        <v>0</v>
      </c>
      <c r="G65" s="228">
        <v>0</v>
      </c>
      <c r="H65" s="228">
        <v>0</v>
      </c>
      <c r="I65" s="228">
        <v>0</v>
      </c>
      <c r="J65" s="229" t="s">
        <v>14</v>
      </c>
      <c r="K65" s="233">
        <v>0</v>
      </c>
      <c r="O65" s="277" t="s">
        <v>56</v>
      </c>
      <c r="P65" s="258" t="s">
        <v>498</v>
      </c>
      <c r="Q65" s="271"/>
      <c r="R65" s="228">
        <v>-0.375</v>
      </c>
      <c r="S65" s="228">
        <v>-0.375</v>
      </c>
      <c r="T65" s="228">
        <v>-0.375</v>
      </c>
      <c r="U65" s="228">
        <v>-0.5</v>
      </c>
      <c r="V65" s="272">
        <v>-0.75</v>
      </c>
      <c r="W65" s="272">
        <v>-1.25</v>
      </c>
      <c r="X65" s="228">
        <v>-2.5</v>
      </c>
      <c r="Y65" s="233"/>
      <c r="AM65" s="68">
        <f t="shared" si="32"/>
        <v>9.5</v>
      </c>
      <c r="AN65" s="68">
        <v>113.58949999999999</v>
      </c>
      <c r="AO65" s="68">
        <v>113.48949999999999</v>
      </c>
      <c r="AP65" s="68">
        <v>113.48949999999999</v>
      </c>
      <c r="AR65" s="68">
        <f t="shared" si="33"/>
        <v>9.5</v>
      </c>
      <c r="AT65" s="68">
        <v>0.97449999999999437</v>
      </c>
      <c r="AU65" s="68">
        <v>0.97449999999999437</v>
      </c>
      <c r="AV65" s="68"/>
      <c r="AW65" s="68">
        <f t="shared" si="30"/>
        <v>0.97449999999999437</v>
      </c>
      <c r="AX65" s="68"/>
      <c r="AY65" s="68"/>
      <c r="AZ65" s="68"/>
      <c r="BD65" s="127"/>
    </row>
    <row r="66" spans="1:56">
      <c r="A66" s="207"/>
      <c r="B66" s="195" t="s">
        <v>250</v>
      </c>
      <c r="C66" s="146"/>
      <c r="D66" s="230">
        <v>0</v>
      </c>
      <c r="E66" s="230">
        <v>0</v>
      </c>
      <c r="F66" s="230">
        <v>0</v>
      </c>
      <c r="G66" s="230">
        <v>0</v>
      </c>
      <c r="H66" s="230">
        <v>0</v>
      </c>
      <c r="I66" s="230">
        <v>0</v>
      </c>
      <c r="J66" s="229" t="s">
        <v>14</v>
      </c>
      <c r="K66" s="232">
        <v>0</v>
      </c>
      <c r="O66" s="278"/>
      <c r="P66" s="265" t="s">
        <v>499</v>
      </c>
      <c r="Q66" s="269"/>
      <c r="R66" s="230">
        <v>-0.75</v>
      </c>
      <c r="S66" s="230">
        <v>-0.75</v>
      </c>
      <c r="T66" s="230">
        <v>-0.75</v>
      </c>
      <c r="U66" s="230">
        <v>-0.875</v>
      </c>
      <c r="V66" s="279">
        <v>-1.25</v>
      </c>
      <c r="W66" s="279">
        <v>-1.75</v>
      </c>
      <c r="X66" s="230" t="s">
        <v>14</v>
      </c>
      <c r="Y66" s="232"/>
      <c r="AY66" s="68"/>
    </row>
    <row r="67" spans="1:56">
      <c r="A67" s="178" t="s">
        <v>62</v>
      </c>
      <c r="B67" s="190" t="s">
        <v>63</v>
      </c>
      <c r="C67" s="199"/>
      <c r="D67" s="229">
        <v>0</v>
      </c>
      <c r="E67" s="228">
        <v>0</v>
      </c>
      <c r="F67" s="228">
        <v>0</v>
      </c>
      <c r="G67" s="228">
        <v>0</v>
      </c>
      <c r="H67" s="228">
        <v>0</v>
      </c>
      <c r="I67" s="228">
        <v>0</v>
      </c>
      <c r="J67" s="229">
        <v>0</v>
      </c>
      <c r="K67" s="233">
        <v>0</v>
      </c>
      <c r="O67" s="245" t="s">
        <v>62</v>
      </c>
      <c r="P67" s="258" t="s">
        <v>63</v>
      </c>
      <c r="Q67" s="271"/>
      <c r="R67" s="229">
        <v>-0.125</v>
      </c>
      <c r="S67" s="228">
        <v>-0.125</v>
      </c>
      <c r="T67" s="228">
        <v>-0.125</v>
      </c>
      <c r="U67" s="228">
        <v>-0.25</v>
      </c>
      <c r="V67" s="272">
        <v>-0.5</v>
      </c>
      <c r="W67" s="272">
        <v>-0.75</v>
      </c>
      <c r="X67" s="228">
        <v>-1.25</v>
      </c>
      <c r="Y67" s="233"/>
      <c r="AY67" s="68"/>
    </row>
    <row r="68" spans="1:56">
      <c r="A68" s="178"/>
      <c r="B68" s="193" t="s">
        <v>194</v>
      </c>
      <c r="C68" s="142"/>
      <c r="D68" s="229">
        <v>0</v>
      </c>
      <c r="E68" s="229">
        <v>0</v>
      </c>
      <c r="F68" s="229">
        <v>0</v>
      </c>
      <c r="G68" s="229">
        <v>0</v>
      </c>
      <c r="H68" s="229">
        <v>0</v>
      </c>
      <c r="I68" s="229">
        <v>0</v>
      </c>
      <c r="J68" s="229" t="s">
        <v>14</v>
      </c>
      <c r="K68" s="233">
        <v>0</v>
      </c>
      <c r="O68" s="245"/>
      <c r="P68" s="262" t="s">
        <v>194</v>
      </c>
      <c r="Q68" s="274"/>
      <c r="R68" s="229">
        <v>-1.375</v>
      </c>
      <c r="S68" s="229">
        <v>-1.375</v>
      </c>
      <c r="T68" s="229">
        <v>-1.375</v>
      </c>
      <c r="U68" s="229">
        <v>-1.375</v>
      </c>
      <c r="V68" s="229">
        <v>-1.375</v>
      </c>
      <c r="W68" s="229">
        <v>-1.375</v>
      </c>
      <c r="X68" s="229">
        <v>-3</v>
      </c>
      <c r="Y68" s="233"/>
      <c r="AY68" s="68"/>
    </row>
    <row r="69" spans="1:56">
      <c r="A69" s="207"/>
      <c r="B69" s="195" t="s">
        <v>64</v>
      </c>
      <c r="C69" s="146"/>
      <c r="D69" s="230">
        <v>0</v>
      </c>
      <c r="E69" s="230">
        <v>0</v>
      </c>
      <c r="F69" s="230">
        <v>0</v>
      </c>
      <c r="G69" s="230">
        <v>0</v>
      </c>
      <c r="H69" s="230">
        <v>0</v>
      </c>
      <c r="I69" s="230">
        <v>0</v>
      </c>
      <c r="J69" s="230">
        <v>0</v>
      </c>
      <c r="K69" s="232">
        <v>0</v>
      </c>
      <c r="O69" s="278"/>
      <c r="P69" s="265" t="s">
        <v>64</v>
      </c>
      <c r="Q69" s="269"/>
      <c r="R69" s="230">
        <v>-0.5</v>
      </c>
      <c r="S69" s="230">
        <v>-0.5</v>
      </c>
      <c r="T69" s="230">
        <v>-0.5</v>
      </c>
      <c r="U69" s="230">
        <v>-0.5</v>
      </c>
      <c r="V69" s="230">
        <v>-0.625</v>
      </c>
      <c r="W69" s="230">
        <v>-0.75</v>
      </c>
      <c r="X69" s="230">
        <v>-1.25</v>
      </c>
      <c r="Y69" s="232"/>
      <c r="AY69" s="68"/>
    </row>
    <row r="70" spans="1:56">
      <c r="A70" s="208" t="s">
        <v>138</v>
      </c>
      <c r="B70" s="190" t="s">
        <v>139</v>
      </c>
      <c r="C70" s="209"/>
      <c r="D70" s="229">
        <v>0</v>
      </c>
      <c r="E70" s="228">
        <v>0</v>
      </c>
      <c r="F70" s="228">
        <v>0</v>
      </c>
      <c r="G70" s="228">
        <v>0</v>
      </c>
      <c r="H70" s="228">
        <v>0</v>
      </c>
      <c r="I70" s="228">
        <v>0</v>
      </c>
      <c r="J70" s="235">
        <v>0</v>
      </c>
      <c r="K70" s="232">
        <v>0</v>
      </c>
      <c r="O70" s="280" t="s">
        <v>138</v>
      </c>
      <c r="P70" s="258" t="s">
        <v>139</v>
      </c>
      <c r="Q70" s="281"/>
      <c r="R70" s="229">
        <v>0</v>
      </c>
      <c r="S70" s="228">
        <v>0</v>
      </c>
      <c r="T70" s="228">
        <v>0</v>
      </c>
      <c r="U70" s="228">
        <v>0</v>
      </c>
      <c r="V70" s="228">
        <v>0</v>
      </c>
      <c r="W70" s="228">
        <v>-0.25</v>
      </c>
      <c r="X70" s="235">
        <v>-0.5</v>
      </c>
      <c r="Y70" s="232"/>
      <c r="AY70" s="68"/>
    </row>
    <row r="71" spans="1:56">
      <c r="A71" s="210" t="s">
        <v>65</v>
      </c>
      <c r="B71" s="211" t="s">
        <v>251</v>
      </c>
      <c r="C71" s="212"/>
      <c r="D71" s="222">
        <v>0</v>
      </c>
      <c r="E71" s="222">
        <v>0</v>
      </c>
      <c r="F71" s="222">
        <v>0</v>
      </c>
      <c r="G71" s="222">
        <v>0</v>
      </c>
      <c r="H71" s="222">
        <v>0</v>
      </c>
      <c r="I71" s="222">
        <v>0</v>
      </c>
      <c r="J71" s="222">
        <v>0</v>
      </c>
      <c r="K71" s="236">
        <v>0</v>
      </c>
      <c r="O71" s="282" t="s">
        <v>65</v>
      </c>
      <c r="P71" s="283" t="s">
        <v>251</v>
      </c>
      <c r="Q71" s="284"/>
      <c r="R71" s="222">
        <v>-0.25</v>
      </c>
      <c r="S71" s="222">
        <v>-0.25</v>
      </c>
      <c r="T71" s="222">
        <v>-0.25</v>
      </c>
      <c r="U71" s="222">
        <v>-0.25</v>
      </c>
      <c r="V71" s="222">
        <v>-0.25</v>
      </c>
      <c r="W71" s="222">
        <v>-0.375</v>
      </c>
      <c r="X71" s="222">
        <v>-0.5</v>
      </c>
      <c r="Y71" s="236"/>
      <c r="AY71" s="68"/>
    </row>
    <row r="72" spans="1:56">
      <c r="A72" s="213"/>
      <c r="B72" s="195" t="s">
        <v>141</v>
      </c>
      <c r="C72" s="196"/>
      <c r="D72" s="230">
        <v>0</v>
      </c>
      <c r="E72" s="230">
        <v>0</v>
      </c>
      <c r="F72" s="230">
        <v>0</v>
      </c>
      <c r="G72" s="230">
        <v>0</v>
      </c>
      <c r="H72" s="230">
        <v>0</v>
      </c>
      <c r="I72" s="230">
        <v>0</v>
      </c>
      <c r="J72" s="230">
        <v>0.5</v>
      </c>
      <c r="K72" s="237">
        <v>0</v>
      </c>
      <c r="O72" s="285"/>
      <c r="P72" s="265" t="s">
        <v>141</v>
      </c>
      <c r="Q72" s="266"/>
      <c r="R72" s="279">
        <v>-0.5</v>
      </c>
      <c r="S72" s="279">
        <v>-0.5</v>
      </c>
      <c r="T72" s="279">
        <v>-0.5</v>
      </c>
      <c r="U72" s="279">
        <v>-0.5</v>
      </c>
      <c r="V72" s="279">
        <v>-0.625</v>
      </c>
      <c r="W72" s="279">
        <v>-0.75</v>
      </c>
      <c r="X72" s="279">
        <v>-1.25</v>
      </c>
      <c r="Y72" s="237"/>
      <c r="AY72" s="68"/>
    </row>
    <row r="73" spans="1:56">
      <c r="A73" s="178"/>
      <c r="B73" s="193" t="s">
        <v>99</v>
      </c>
      <c r="C73" s="194"/>
      <c r="D73" s="229">
        <v>0</v>
      </c>
      <c r="E73" s="229">
        <v>0</v>
      </c>
      <c r="F73" s="229">
        <v>0</v>
      </c>
      <c r="G73" s="229">
        <v>0</v>
      </c>
      <c r="H73" s="229">
        <v>0</v>
      </c>
      <c r="I73" s="229">
        <v>0</v>
      </c>
      <c r="J73" s="229">
        <v>0</v>
      </c>
      <c r="K73" s="233">
        <v>0</v>
      </c>
      <c r="O73" s="245"/>
      <c r="P73" s="262" t="s">
        <v>99</v>
      </c>
      <c r="Q73" s="263"/>
      <c r="R73" s="229">
        <v>1</v>
      </c>
      <c r="S73" s="229">
        <v>1</v>
      </c>
      <c r="T73" s="229">
        <v>1</v>
      </c>
      <c r="U73" s="229">
        <v>1</v>
      </c>
      <c r="V73" s="229">
        <v>1.125</v>
      </c>
      <c r="W73" s="229">
        <v>1.125</v>
      </c>
      <c r="X73" s="229">
        <v>1.125</v>
      </c>
      <c r="Y73" s="229"/>
      <c r="AC73" s="262" t="s">
        <v>99</v>
      </c>
      <c r="AD73" s="944">
        <v>1</v>
      </c>
      <c r="AE73" s="944">
        <v>1</v>
      </c>
      <c r="AF73" s="944">
        <v>1</v>
      </c>
      <c r="AG73" s="944">
        <v>1</v>
      </c>
      <c r="AH73" s="944">
        <v>1.125</v>
      </c>
      <c r="AI73" s="944">
        <v>1.125</v>
      </c>
      <c r="AJ73" s="945">
        <v>1.125</v>
      </c>
      <c r="AK73" s="946">
        <v>1</v>
      </c>
      <c r="AY73" s="68"/>
    </row>
    <row r="74" spans="1:56">
      <c r="A74" s="214" t="s">
        <v>142</v>
      </c>
      <c r="B74" s="193" t="s">
        <v>100</v>
      </c>
      <c r="C74" s="194"/>
      <c r="D74" s="229">
        <v>0</v>
      </c>
      <c r="E74" s="229">
        <v>0</v>
      </c>
      <c r="F74" s="229">
        <v>0</v>
      </c>
      <c r="G74" s="229">
        <v>0</v>
      </c>
      <c r="H74" s="229">
        <v>0</v>
      </c>
      <c r="I74" s="229">
        <v>0</v>
      </c>
      <c r="J74" s="229">
        <v>0</v>
      </c>
      <c r="K74" s="233">
        <v>0</v>
      </c>
      <c r="O74" s="286" t="s">
        <v>142</v>
      </c>
      <c r="P74" s="262" t="s">
        <v>100</v>
      </c>
      <c r="Q74" s="263"/>
      <c r="R74" s="229">
        <v>0.75</v>
      </c>
      <c r="S74" s="229">
        <v>0.75</v>
      </c>
      <c r="T74" s="229">
        <v>0.75</v>
      </c>
      <c r="U74" s="229">
        <v>0.75</v>
      </c>
      <c r="V74" s="229">
        <v>0.875</v>
      </c>
      <c r="W74" s="229">
        <v>0.875</v>
      </c>
      <c r="X74" s="229">
        <v>0.875</v>
      </c>
      <c r="Y74" s="229"/>
      <c r="AC74" s="262" t="s">
        <v>100</v>
      </c>
      <c r="AD74" s="944">
        <v>0.75</v>
      </c>
      <c r="AE74" s="944">
        <v>0.75</v>
      </c>
      <c r="AF74" s="944">
        <v>0.75</v>
      </c>
      <c r="AG74" s="944">
        <v>0.75</v>
      </c>
      <c r="AH74" s="944">
        <v>0.875</v>
      </c>
      <c r="AI74" s="944">
        <v>0.875</v>
      </c>
      <c r="AJ74" s="945">
        <v>0.875</v>
      </c>
      <c r="AK74" s="947">
        <v>0.75</v>
      </c>
      <c r="AY74" s="68"/>
    </row>
    <row r="75" spans="1:56">
      <c r="A75" s="178" t="s">
        <v>143</v>
      </c>
      <c r="B75" s="193" t="s">
        <v>7</v>
      </c>
      <c r="C75" s="194"/>
      <c r="D75" s="229">
        <v>0.25</v>
      </c>
      <c r="E75" s="229">
        <v>0.25</v>
      </c>
      <c r="F75" s="229">
        <v>0.25</v>
      </c>
      <c r="G75" s="229">
        <v>0.25</v>
      </c>
      <c r="H75" s="229">
        <v>0.375</v>
      </c>
      <c r="I75" s="229">
        <v>0.375</v>
      </c>
      <c r="J75" s="229">
        <v>0.375</v>
      </c>
      <c r="K75" s="233">
        <v>0</v>
      </c>
      <c r="O75" s="245" t="s">
        <v>143</v>
      </c>
      <c r="P75" s="262" t="s">
        <v>7</v>
      </c>
      <c r="Q75" s="263"/>
      <c r="R75" s="239">
        <v>0.25</v>
      </c>
      <c r="S75" s="239">
        <v>0.25</v>
      </c>
      <c r="T75" s="239">
        <v>0.25</v>
      </c>
      <c r="U75" s="239">
        <v>0.25</v>
      </c>
      <c r="V75" s="239">
        <v>0.25</v>
      </c>
      <c r="W75" s="239">
        <v>0.25</v>
      </c>
      <c r="X75" s="239">
        <v>0.25</v>
      </c>
      <c r="Y75" s="239"/>
      <c r="AC75" s="262" t="s">
        <v>7</v>
      </c>
      <c r="AD75" s="161">
        <v>0.25</v>
      </c>
      <c r="AE75" s="161">
        <v>0.25</v>
      </c>
      <c r="AF75" s="161">
        <v>0.25</v>
      </c>
      <c r="AG75" s="161">
        <v>0.25</v>
      </c>
      <c r="AH75" s="161">
        <v>0.25</v>
      </c>
      <c r="AI75" s="161">
        <v>0.25</v>
      </c>
      <c r="AJ75" s="161">
        <v>0.25</v>
      </c>
      <c r="AK75" s="947">
        <v>0.25</v>
      </c>
      <c r="AY75" s="68"/>
    </row>
    <row r="76" spans="1:56" ht="16.5">
      <c r="A76" s="178" t="s">
        <v>252</v>
      </c>
      <c r="B76" s="193" t="s">
        <v>9</v>
      </c>
      <c r="C76" s="194"/>
      <c r="D76" s="229">
        <v>0.375</v>
      </c>
      <c r="E76" s="229">
        <v>0.375</v>
      </c>
      <c r="F76" s="229">
        <v>0.375</v>
      </c>
      <c r="G76" s="229">
        <v>0.375</v>
      </c>
      <c r="H76" s="229">
        <v>0.625</v>
      </c>
      <c r="I76" s="229">
        <v>0.625</v>
      </c>
      <c r="J76" s="229">
        <v>0.625</v>
      </c>
      <c r="K76" s="233">
        <v>0</v>
      </c>
      <c r="O76" s="245" t="s">
        <v>252</v>
      </c>
      <c r="P76" s="262" t="s">
        <v>9</v>
      </c>
      <c r="Q76" s="263"/>
      <c r="R76" s="229">
        <v>-0.375</v>
      </c>
      <c r="S76" s="229">
        <v>-0.375</v>
      </c>
      <c r="T76" s="229">
        <v>-0.375</v>
      </c>
      <c r="U76" s="229">
        <v>-0.375</v>
      </c>
      <c r="V76" s="229">
        <v>-0.5</v>
      </c>
      <c r="W76" s="229">
        <v>-0.5</v>
      </c>
      <c r="X76" s="229">
        <v>-0.5</v>
      </c>
      <c r="Y76" s="229"/>
      <c r="AC76" s="262" t="s">
        <v>9</v>
      </c>
      <c r="AD76" s="161">
        <v>-0.375</v>
      </c>
      <c r="AE76" s="161">
        <v>-0.375</v>
      </c>
      <c r="AF76" s="161">
        <v>-0.375</v>
      </c>
      <c r="AG76" s="161">
        <v>-0.375</v>
      </c>
      <c r="AH76" s="161">
        <v>-0.5</v>
      </c>
      <c r="AI76" s="161">
        <v>-0.5</v>
      </c>
      <c r="AJ76" s="161">
        <v>-0.5</v>
      </c>
      <c r="AK76" s="947">
        <v>-0.5</v>
      </c>
    </row>
    <row r="77" spans="1:56">
      <c r="A77" s="178"/>
      <c r="B77" s="193" t="s">
        <v>11</v>
      </c>
      <c r="C77" s="194"/>
      <c r="D77" s="229">
        <v>0.625</v>
      </c>
      <c r="E77" s="229">
        <v>0.625</v>
      </c>
      <c r="F77" s="229">
        <v>0.875</v>
      </c>
      <c r="G77" s="229">
        <v>0.875</v>
      </c>
      <c r="H77" s="229">
        <v>1.125</v>
      </c>
      <c r="I77" s="229">
        <v>1.125</v>
      </c>
      <c r="J77" s="229">
        <v>1.125</v>
      </c>
      <c r="K77" s="233">
        <v>0</v>
      </c>
      <c r="O77" s="245"/>
      <c r="P77" s="262" t="s">
        <v>11</v>
      </c>
      <c r="Q77" s="263"/>
      <c r="R77" s="229">
        <v>-1.125</v>
      </c>
      <c r="S77" s="229">
        <v>-1.125</v>
      </c>
      <c r="T77" s="229">
        <v>-1.375</v>
      </c>
      <c r="U77" s="229">
        <v>-1.375</v>
      </c>
      <c r="V77" s="229">
        <v>-1.6250000000000002</v>
      </c>
      <c r="W77" s="229">
        <v>-1.6250000000000002</v>
      </c>
      <c r="X77" s="229">
        <v>-1.6250000000000002</v>
      </c>
      <c r="Y77" s="229"/>
      <c r="AC77" s="262" t="s">
        <v>11</v>
      </c>
      <c r="AD77" s="161">
        <v>-1.125</v>
      </c>
      <c r="AE77" s="161">
        <v>-1.125</v>
      </c>
      <c r="AF77" s="161">
        <v>-1.375</v>
      </c>
      <c r="AG77" s="161">
        <v>-1.375</v>
      </c>
      <c r="AH77" s="161">
        <v>-1.6250000000000002</v>
      </c>
      <c r="AI77" s="161">
        <v>-1.6250000000000002</v>
      </c>
      <c r="AJ77" s="161">
        <v>-1.6250000000000002</v>
      </c>
      <c r="AK77" s="947">
        <v>-1.6250000000000002</v>
      </c>
    </row>
    <row r="78" spans="1:56">
      <c r="A78" s="178"/>
      <c r="B78" s="193" t="s">
        <v>101</v>
      </c>
      <c r="C78" s="194"/>
      <c r="D78" s="240">
        <v>0.75</v>
      </c>
      <c r="E78" s="240">
        <v>0.75</v>
      </c>
      <c r="F78" s="240">
        <v>1</v>
      </c>
      <c r="G78" s="240">
        <v>1</v>
      </c>
      <c r="H78" s="240">
        <v>1.25</v>
      </c>
      <c r="I78" s="240">
        <v>1.25</v>
      </c>
      <c r="J78" s="240">
        <v>1.25</v>
      </c>
      <c r="K78" s="241">
        <v>0</v>
      </c>
      <c r="O78" s="245"/>
      <c r="P78" s="262" t="s">
        <v>101</v>
      </c>
      <c r="Q78" s="263"/>
      <c r="R78" s="229">
        <v>-1.7500000000000002</v>
      </c>
      <c r="S78" s="229">
        <v>-1.7500000000000002</v>
      </c>
      <c r="T78" s="229">
        <v>-2</v>
      </c>
      <c r="U78" s="229">
        <v>-2</v>
      </c>
      <c r="V78" s="229">
        <v>-2.25</v>
      </c>
      <c r="W78" s="229">
        <v>-2.25</v>
      </c>
      <c r="X78" s="229">
        <v>-2.25</v>
      </c>
      <c r="Y78" s="229"/>
      <c r="AC78" s="262" t="s">
        <v>101</v>
      </c>
      <c r="AD78" s="161">
        <v>-1.7500000000000002</v>
      </c>
      <c r="AE78" s="161">
        <v>-1.7500000000000002</v>
      </c>
      <c r="AF78" s="161">
        <v>-2</v>
      </c>
      <c r="AG78" s="161">
        <v>-2</v>
      </c>
      <c r="AH78" s="161">
        <v>-2.25</v>
      </c>
      <c r="AI78" s="161">
        <v>-2.25</v>
      </c>
      <c r="AJ78" s="165">
        <v>-2.25</v>
      </c>
      <c r="AK78" s="948">
        <v>-2.25</v>
      </c>
    </row>
    <row r="79" spans="1:56">
      <c r="A79" s="206"/>
      <c r="B79" s="190" t="s">
        <v>99</v>
      </c>
      <c r="C79" s="191"/>
      <c r="D79" s="228">
        <v>0</v>
      </c>
      <c r="E79" s="228">
        <v>0</v>
      </c>
      <c r="F79" s="228">
        <v>0</v>
      </c>
      <c r="G79" s="228">
        <v>0</v>
      </c>
      <c r="H79" s="228">
        <v>0</v>
      </c>
      <c r="I79" s="228">
        <v>-0.125</v>
      </c>
      <c r="J79" s="228">
        <v>-0.25</v>
      </c>
      <c r="K79" s="234">
        <v>0</v>
      </c>
      <c r="O79" s="277"/>
      <c r="P79" s="258" t="s">
        <v>99</v>
      </c>
      <c r="Q79" s="259"/>
      <c r="R79" s="272">
        <v>0.75</v>
      </c>
      <c r="S79" s="272">
        <v>0.75</v>
      </c>
      <c r="T79" s="272">
        <v>0.75</v>
      </c>
      <c r="U79" s="272">
        <v>0.75</v>
      </c>
      <c r="V79" s="272">
        <v>0.875</v>
      </c>
      <c r="W79" s="272">
        <v>1</v>
      </c>
      <c r="X79" s="272">
        <v>1.125</v>
      </c>
      <c r="Y79" s="272"/>
    </row>
    <row r="80" spans="1:56">
      <c r="A80" s="181"/>
      <c r="B80" s="193" t="s">
        <v>100</v>
      </c>
      <c r="C80" s="194"/>
      <c r="D80" s="229">
        <v>0</v>
      </c>
      <c r="E80" s="229">
        <v>0</v>
      </c>
      <c r="F80" s="229">
        <v>0</v>
      </c>
      <c r="G80" s="229">
        <v>0</v>
      </c>
      <c r="H80" s="229">
        <v>0</v>
      </c>
      <c r="I80" s="229">
        <v>0</v>
      </c>
      <c r="J80" s="229">
        <v>-0.125</v>
      </c>
      <c r="K80" s="233">
        <v>0</v>
      </c>
      <c r="O80" s="249"/>
      <c r="P80" s="262" t="s">
        <v>100</v>
      </c>
      <c r="Q80" s="263"/>
      <c r="R80" s="239">
        <v>0.5</v>
      </c>
      <c r="S80" s="239">
        <v>0.5</v>
      </c>
      <c r="T80" s="239">
        <v>0.5</v>
      </c>
      <c r="U80" s="239">
        <v>0.5</v>
      </c>
      <c r="V80" s="239">
        <v>0.625</v>
      </c>
      <c r="W80" s="239">
        <v>0.625</v>
      </c>
      <c r="X80" s="239">
        <v>0.75</v>
      </c>
      <c r="Y80" s="239"/>
    </row>
    <row r="81" spans="1:25">
      <c r="A81" s="178" t="s">
        <v>143</v>
      </c>
      <c r="B81" s="193" t="s">
        <v>7</v>
      </c>
      <c r="C81" s="194"/>
      <c r="D81" s="229">
        <v>0.25</v>
      </c>
      <c r="E81" s="229">
        <v>0.25</v>
      </c>
      <c r="F81" s="229">
        <v>0.25</v>
      </c>
      <c r="G81" s="229">
        <v>0.25</v>
      </c>
      <c r="H81" s="229">
        <v>0.375</v>
      </c>
      <c r="I81" s="229">
        <v>0.375</v>
      </c>
      <c r="J81" s="229">
        <v>0.375</v>
      </c>
      <c r="K81" s="233">
        <v>0</v>
      </c>
      <c r="O81" s="245" t="s">
        <v>143</v>
      </c>
      <c r="P81" s="262" t="s">
        <v>7</v>
      </c>
      <c r="Q81" s="263"/>
      <c r="R81" s="229">
        <v>0</v>
      </c>
      <c r="S81" s="229">
        <v>0</v>
      </c>
      <c r="T81" s="229">
        <v>0</v>
      </c>
      <c r="U81" s="229">
        <v>0</v>
      </c>
      <c r="V81" s="229">
        <v>0</v>
      </c>
      <c r="W81" s="229">
        <v>0</v>
      </c>
      <c r="X81" s="229">
        <v>0</v>
      </c>
      <c r="Y81" s="229"/>
    </row>
    <row r="82" spans="1:25" ht="16.5">
      <c r="A82" s="178" t="s">
        <v>252</v>
      </c>
      <c r="B82" s="193" t="s">
        <v>9</v>
      </c>
      <c r="C82" s="194"/>
      <c r="D82" s="229">
        <v>0.25</v>
      </c>
      <c r="E82" s="229">
        <v>0.25</v>
      </c>
      <c r="F82" s="229">
        <v>0.25</v>
      </c>
      <c r="G82" s="229">
        <v>0.25</v>
      </c>
      <c r="H82" s="229">
        <v>0.5</v>
      </c>
      <c r="I82" s="229">
        <v>0.5</v>
      </c>
      <c r="J82" s="229">
        <v>0.5</v>
      </c>
      <c r="K82" s="233">
        <v>0</v>
      </c>
      <c r="O82" s="245" t="s">
        <v>252</v>
      </c>
      <c r="P82" s="262" t="s">
        <v>9</v>
      </c>
      <c r="Q82" s="263"/>
      <c r="R82" s="229">
        <v>-0.5</v>
      </c>
      <c r="S82" s="229">
        <v>-0.5</v>
      </c>
      <c r="T82" s="229">
        <v>-0.5</v>
      </c>
      <c r="U82" s="229">
        <v>-0.5</v>
      </c>
      <c r="V82" s="229">
        <v>-0.625</v>
      </c>
      <c r="W82" s="229">
        <v>-0.625</v>
      </c>
      <c r="X82" s="229">
        <v>-0.625</v>
      </c>
      <c r="Y82" s="229"/>
    </row>
    <row r="83" spans="1:25">
      <c r="A83" s="178" t="s">
        <v>253</v>
      </c>
      <c r="B83" s="193" t="s">
        <v>11</v>
      </c>
      <c r="C83" s="194"/>
      <c r="D83" s="229">
        <v>0.625</v>
      </c>
      <c r="E83" s="229">
        <v>0.625</v>
      </c>
      <c r="F83" s="229">
        <v>0.875</v>
      </c>
      <c r="G83" s="229">
        <v>0.875</v>
      </c>
      <c r="H83" s="229">
        <v>1.125</v>
      </c>
      <c r="I83" s="229">
        <v>1.125</v>
      </c>
      <c r="J83" s="229">
        <v>1.125</v>
      </c>
      <c r="K83" s="233">
        <v>0</v>
      </c>
      <c r="O83" s="245" t="s">
        <v>253</v>
      </c>
      <c r="P83" s="262" t="s">
        <v>11</v>
      </c>
      <c r="Q83" s="263"/>
      <c r="R83" s="229">
        <v>-1.25</v>
      </c>
      <c r="S83" s="229">
        <v>-1.25</v>
      </c>
      <c r="T83" s="229">
        <v>-1.5</v>
      </c>
      <c r="U83" s="229">
        <v>-1.5</v>
      </c>
      <c r="V83" s="229">
        <v>-1.7500000000000002</v>
      </c>
      <c r="W83" s="229">
        <v>-1.7500000000000002</v>
      </c>
      <c r="X83" s="229">
        <v>-1.7500000000000002</v>
      </c>
      <c r="Y83" s="229"/>
    </row>
    <row r="84" spans="1:25">
      <c r="A84" s="207"/>
      <c r="B84" s="195" t="s">
        <v>101</v>
      </c>
      <c r="C84" s="196"/>
      <c r="D84" s="240">
        <v>0.75</v>
      </c>
      <c r="E84" s="240">
        <v>0.75</v>
      </c>
      <c r="F84" s="240">
        <v>1</v>
      </c>
      <c r="G84" s="240">
        <v>1</v>
      </c>
      <c r="H84" s="240">
        <v>1.25</v>
      </c>
      <c r="I84" s="240">
        <v>1.25</v>
      </c>
      <c r="J84" s="240">
        <v>1.25</v>
      </c>
      <c r="K84" s="232">
        <v>0</v>
      </c>
      <c r="O84" s="278"/>
      <c r="P84" s="265" t="s">
        <v>101</v>
      </c>
      <c r="Q84" s="266"/>
      <c r="R84" s="230">
        <v>-1.7500000000000002</v>
      </c>
      <c r="S84" s="230">
        <v>-1.7500000000000002</v>
      </c>
      <c r="T84" s="230">
        <v>-2</v>
      </c>
      <c r="U84" s="230">
        <v>-2</v>
      </c>
      <c r="V84" s="230">
        <v>-2.25</v>
      </c>
      <c r="W84" s="230">
        <v>-2.25</v>
      </c>
      <c r="X84" s="230">
        <v>-2.25</v>
      </c>
      <c r="Y84" s="230"/>
    </row>
    <row r="85" spans="1:25">
      <c r="A85" s="215" t="s">
        <v>68</v>
      </c>
      <c r="B85" s="216" t="s">
        <v>69</v>
      </c>
      <c r="C85" s="217"/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8">
        <v>0</v>
      </c>
      <c r="O85" s="287" t="s">
        <v>68</v>
      </c>
      <c r="P85" s="288" t="s">
        <v>69</v>
      </c>
      <c r="Q85" s="289"/>
      <c r="R85" s="231">
        <v>-0.25</v>
      </c>
      <c r="S85" s="231">
        <v>-0.25</v>
      </c>
      <c r="T85" s="231">
        <v>-0.25</v>
      </c>
      <c r="U85" s="231">
        <v>-0.25</v>
      </c>
      <c r="V85" s="231">
        <v>-0.25</v>
      </c>
      <c r="W85" s="231">
        <v>-0.25</v>
      </c>
      <c r="X85" s="231">
        <v>-0.25</v>
      </c>
      <c r="Y85" s="238"/>
    </row>
    <row r="86" spans="1:25">
      <c r="O86" s="290"/>
      <c r="P86" s="290"/>
      <c r="Q86" s="290"/>
      <c r="R86" s="290"/>
      <c r="S86" s="290"/>
      <c r="T86" s="290"/>
      <c r="U86" s="290"/>
      <c r="V86" s="290"/>
      <c r="W86" s="290"/>
      <c r="X86" s="291"/>
      <c r="Y86" s="30"/>
    </row>
    <row r="87" spans="1:25">
      <c r="O87" s="292" t="s">
        <v>254</v>
      </c>
      <c r="P87" s="293"/>
      <c r="Q87" s="294"/>
      <c r="R87" s="295" t="s">
        <v>104</v>
      </c>
      <c r="S87" s="296"/>
      <c r="T87" s="296"/>
      <c r="U87" s="296"/>
      <c r="V87" s="295" t="s">
        <v>255</v>
      </c>
      <c r="W87" s="296"/>
      <c r="X87" s="244"/>
      <c r="Y87" s="30"/>
    </row>
    <row r="88" spans="1:25">
      <c r="O88" s="297" t="s">
        <v>217</v>
      </c>
      <c r="P88" s="298" t="s">
        <v>112</v>
      </c>
      <c r="Q88" s="299">
        <v>0</v>
      </c>
      <c r="R88" s="300" t="s">
        <v>105</v>
      </c>
      <c r="S88" s="301" t="s">
        <v>106</v>
      </c>
      <c r="T88" s="301"/>
      <c r="U88" s="301"/>
      <c r="V88" s="300" t="s">
        <v>256</v>
      </c>
      <c r="W88" s="301" t="s">
        <v>73</v>
      </c>
      <c r="X88" s="302"/>
      <c r="Y88" s="30"/>
    </row>
    <row r="89" spans="1:25">
      <c r="O89" s="297"/>
      <c r="P89" s="298" t="s">
        <v>113</v>
      </c>
      <c r="Q89" s="299">
        <v>-0.375</v>
      </c>
      <c r="R89" s="300" t="s">
        <v>107</v>
      </c>
      <c r="S89" s="303">
        <v>6.5</v>
      </c>
      <c r="T89" s="303"/>
      <c r="U89" s="303"/>
      <c r="V89" s="300" t="s">
        <v>257</v>
      </c>
      <c r="W89" s="303">
        <v>24</v>
      </c>
      <c r="X89" s="304"/>
      <c r="Y89" s="30"/>
    </row>
    <row r="90" spans="1:25">
      <c r="O90" s="305"/>
      <c r="P90" s="306" t="s">
        <v>258</v>
      </c>
      <c r="Q90" s="307">
        <v>-0.75</v>
      </c>
      <c r="R90" s="300" t="s">
        <v>259</v>
      </c>
      <c r="S90" s="301" t="s">
        <v>108</v>
      </c>
      <c r="T90" s="301"/>
      <c r="U90" s="301"/>
      <c r="V90" s="300" t="s">
        <v>260</v>
      </c>
      <c r="W90" s="301">
        <v>600</v>
      </c>
      <c r="X90" s="302"/>
      <c r="Y90" s="30"/>
    </row>
    <row r="91" spans="1:25">
      <c r="O91" s="308" t="s">
        <v>261</v>
      </c>
      <c r="P91" s="309" t="s">
        <v>262</v>
      </c>
      <c r="Q91" s="235">
        <v>-0.125</v>
      </c>
      <c r="R91" s="300" t="s">
        <v>165</v>
      </c>
      <c r="S91" s="303" t="s">
        <v>263</v>
      </c>
      <c r="T91" s="303"/>
      <c r="U91" s="303"/>
      <c r="V91" s="300" t="s">
        <v>264</v>
      </c>
      <c r="W91" s="310">
        <v>80</v>
      </c>
      <c r="X91" s="311"/>
      <c r="Y91" s="30"/>
    </row>
    <row r="92" spans="1:25" ht="15.75" thickBot="1">
      <c r="O92" s="312" t="s">
        <v>265</v>
      </c>
      <c r="P92" s="313"/>
      <c r="Q92" s="314"/>
      <c r="R92" s="300" t="s">
        <v>109</v>
      </c>
      <c r="S92" s="301" t="s">
        <v>110</v>
      </c>
      <c r="T92" s="301"/>
      <c r="U92" s="301"/>
      <c r="V92" s="315"/>
      <c r="W92" s="316"/>
      <c r="X92" s="317"/>
      <c r="Y92" s="30"/>
    </row>
    <row r="93" spans="1:25" ht="15.75" thickTop="1">
      <c r="O93" s="30"/>
      <c r="P93" s="30"/>
      <c r="Q93" s="292" t="s">
        <v>210</v>
      </c>
      <c r="R93" s="296"/>
      <c r="S93" s="296" t="s">
        <v>266</v>
      </c>
      <c r="T93" s="296" t="s">
        <v>267</v>
      </c>
      <c r="U93" s="221" t="s">
        <v>268</v>
      </c>
      <c r="V93" s="318"/>
      <c r="W93" s="30"/>
      <c r="X93" s="30"/>
      <c r="Y93" s="30"/>
    </row>
    <row r="94" spans="1:25">
      <c r="O94" s="30"/>
      <c r="P94" s="30"/>
      <c r="Q94" s="300" t="s">
        <v>269</v>
      </c>
      <c r="R94" s="319"/>
      <c r="S94" s="320">
        <v>360</v>
      </c>
      <c r="T94" s="320">
        <v>360</v>
      </c>
      <c r="U94" s="321" t="s">
        <v>14</v>
      </c>
      <c r="V94" s="30"/>
      <c r="W94" s="30"/>
      <c r="X94" s="30"/>
      <c r="Y94" s="30"/>
    </row>
    <row r="95" spans="1:25">
      <c r="O95" s="30"/>
      <c r="P95" s="30"/>
      <c r="Q95" s="300" t="s">
        <v>270</v>
      </c>
      <c r="R95" s="319"/>
      <c r="S95" s="320">
        <v>240</v>
      </c>
      <c r="T95" s="320">
        <v>360</v>
      </c>
      <c r="U95" s="321">
        <v>120</v>
      </c>
      <c r="V95" s="30"/>
      <c r="W95" s="30"/>
      <c r="X95" s="30"/>
      <c r="Y95" s="30"/>
    </row>
    <row r="96" spans="1:25">
      <c r="O96" s="30"/>
      <c r="P96" s="30"/>
      <c r="Q96" s="300" t="s">
        <v>271</v>
      </c>
      <c r="R96" s="319"/>
      <c r="S96" s="320">
        <v>360</v>
      </c>
      <c r="T96" s="320">
        <v>480</v>
      </c>
      <c r="U96" s="321">
        <v>120</v>
      </c>
      <c r="V96" s="30"/>
      <c r="W96" s="30"/>
      <c r="X96" s="30"/>
      <c r="Y96" s="30"/>
    </row>
    <row r="97" spans="1:54">
      <c r="O97" s="30"/>
      <c r="P97" s="30"/>
      <c r="Q97" s="300" t="s">
        <v>272</v>
      </c>
      <c r="R97" s="319"/>
      <c r="S97" s="320">
        <v>180</v>
      </c>
      <c r="T97" s="320">
        <v>180</v>
      </c>
      <c r="U97" s="321" t="s">
        <v>14</v>
      </c>
      <c r="V97" s="30"/>
      <c r="W97" s="30"/>
      <c r="X97" s="30"/>
      <c r="Y97" s="30"/>
    </row>
    <row r="98" spans="1:54">
      <c r="O98" s="30"/>
      <c r="P98" s="30"/>
      <c r="Q98" s="300" t="s">
        <v>273</v>
      </c>
      <c r="R98" s="319"/>
      <c r="S98" s="320">
        <v>360</v>
      </c>
      <c r="T98" s="320">
        <v>360</v>
      </c>
      <c r="U98" s="321" t="s">
        <v>14</v>
      </c>
      <c r="V98" s="30"/>
      <c r="W98" s="30"/>
      <c r="X98" s="30"/>
      <c r="Y98" s="30"/>
    </row>
    <row r="99" spans="1:54">
      <c r="O99" s="30"/>
      <c r="P99" s="30"/>
      <c r="Q99" s="300" t="s">
        <v>274</v>
      </c>
      <c r="R99" s="319"/>
      <c r="S99" s="320">
        <v>240</v>
      </c>
      <c r="T99" s="320">
        <v>360</v>
      </c>
      <c r="U99" s="321">
        <v>120</v>
      </c>
      <c r="V99" s="30"/>
      <c r="W99" s="30"/>
      <c r="X99" s="30"/>
      <c r="Y99" s="30"/>
    </row>
    <row r="100" spans="1:54">
      <c r="O100" s="30"/>
      <c r="P100" s="30"/>
      <c r="Q100" s="300" t="s">
        <v>275</v>
      </c>
      <c r="R100" s="319"/>
      <c r="S100" s="320">
        <v>360</v>
      </c>
      <c r="T100" s="320">
        <v>480</v>
      </c>
      <c r="U100" s="321">
        <v>120</v>
      </c>
      <c r="V100" s="30"/>
      <c r="W100" s="30"/>
      <c r="X100" s="30"/>
      <c r="Y100" s="30"/>
    </row>
    <row r="101" spans="1:54">
      <c r="O101" s="30"/>
      <c r="P101" s="30"/>
      <c r="Q101" s="322" t="s">
        <v>276</v>
      </c>
      <c r="R101" s="323"/>
      <c r="S101" s="324">
        <v>480</v>
      </c>
      <c r="T101" s="324">
        <v>480</v>
      </c>
      <c r="U101" s="325" t="s">
        <v>14</v>
      </c>
      <c r="V101" s="30"/>
      <c r="W101" s="30"/>
      <c r="X101" s="30"/>
      <c r="Y101" s="30"/>
    </row>
    <row r="102" spans="1:54">
      <c r="O102" s="30"/>
      <c r="P102" s="30"/>
      <c r="Q102" s="326" t="s">
        <v>277</v>
      </c>
      <c r="R102" s="327"/>
      <c r="S102" s="327"/>
      <c r="T102" s="327"/>
      <c r="U102" s="328"/>
      <c r="V102" s="30"/>
      <c r="W102" s="30"/>
      <c r="X102" s="30"/>
      <c r="Y102" s="30"/>
    </row>
    <row r="103" spans="1:54" ht="15.75" thickBot="1">
      <c r="O103" s="30"/>
      <c r="P103" s="30"/>
      <c r="Q103" s="329" t="s">
        <v>278</v>
      </c>
      <c r="R103" s="330"/>
      <c r="S103" s="330"/>
      <c r="T103" s="330"/>
      <c r="U103" s="331"/>
      <c r="V103" s="30"/>
      <c r="W103" s="30"/>
      <c r="X103" s="30"/>
      <c r="Y103" s="30"/>
    </row>
    <row r="104" spans="1:54" ht="15.75" thickTop="1"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54"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54"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54"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54">
      <c r="A108" t="s">
        <v>349</v>
      </c>
      <c r="D108" t="s">
        <v>716</v>
      </c>
      <c r="N108" t="s">
        <v>350</v>
      </c>
      <c r="R108" t="s">
        <v>34</v>
      </c>
      <c r="W108" t="s">
        <v>35</v>
      </c>
      <c r="Z108" t="s">
        <v>351</v>
      </c>
      <c r="AC108" t="s">
        <v>378</v>
      </c>
      <c r="AF108" t="s">
        <v>379</v>
      </c>
      <c r="AL108" t="s">
        <v>389</v>
      </c>
      <c r="AP108" t="s">
        <v>399</v>
      </c>
      <c r="AT108" t="s">
        <v>468</v>
      </c>
      <c r="AY108" t="s">
        <v>520</v>
      </c>
      <c r="BB108" t="s">
        <v>516</v>
      </c>
    </row>
    <row r="110" spans="1:54">
      <c r="A110" t="s">
        <v>203</v>
      </c>
      <c r="D110" t="s">
        <v>203</v>
      </c>
      <c r="N110" t="s">
        <v>203</v>
      </c>
      <c r="W110" t="s">
        <v>203</v>
      </c>
      <c r="Z110" t="s">
        <v>203</v>
      </c>
      <c r="AC110" t="s">
        <v>203</v>
      </c>
      <c r="AF110" t="s">
        <v>203</v>
      </c>
      <c r="AL110" t="s">
        <v>203</v>
      </c>
      <c r="AP110" t="s">
        <v>203</v>
      </c>
      <c r="AT110" t="s">
        <v>203</v>
      </c>
      <c r="AY110" t="s">
        <v>203</v>
      </c>
      <c r="BB110" t="s">
        <v>203</v>
      </c>
    </row>
    <row r="111" spans="1:54">
      <c r="A111" t="s">
        <v>204</v>
      </c>
      <c r="D111" t="s">
        <v>691</v>
      </c>
      <c r="N111" t="s">
        <v>202</v>
      </c>
      <c r="R111" t="s">
        <v>221</v>
      </c>
      <c r="W111" t="s">
        <v>492</v>
      </c>
      <c r="Z111" t="s">
        <v>116</v>
      </c>
      <c r="AC111" t="s">
        <v>4</v>
      </c>
      <c r="AF111" t="s">
        <v>338</v>
      </c>
      <c r="AL111" t="s">
        <v>390</v>
      </c>
      <c r="AP111" t="s">
        <v>502</v>
      </c>
      <c r="AT111" t="s">
        <v>74</v>
      </c>
      <c r="AY111" t="s">
        <v>521</v>
      </c>
      <c r="BB111" t="s">
        <v>672</v>
      </c>
    </row>
    <row r="112" spans="1:54">
      <c r="A112" t="s">
        <v>205</v>
      </c>
      <c r="D112" t="s">
        <v>692</v>
      </c>
      <c r="W112" t="s">
        <v>131</v>
      </c>
      <c r="Z112" t="s">
        <v>24</v>
      </c>
      <c r="AF112" t="s">
        <v>337</v>
      </c>
      <c r="AL112" t="s">
        <v>391</v>
      </c>
      <c r="AY112" t="s">
        <v>522</v>
      </c>
      <c r="BB112" t="s">
        <v>673</v>
      </c>
    </row>
    <row r="113" spans="1:54">
      <c r="A113" t="s">
        <v>93</v>
      </c>
      <c r="N113" t="s">
        <v>203</v>
      </c>
      <c r="W113" t="s">
        <v>48</v>
      </c>
      <c r="Z113" t="s">
        <v>25</v>
      </c>
      <c r="AC113" t="s">
        <v>203</v>
      </c>
      <c r="AT113" t="s">
        <v>203</v>
      </c>
      <c r="AY113" t="s">
        <v>523</v>
      </c>
      <c r="BB113" t="s">
        <v>591</v>
      </c>
    </row>
    <row r="114" spans="1:54">
      <c r="D114" t="s">
        <v>203</v>
      </c>
      <c r="N114" t="s">
        <v>343</v>
      </c>
      <c r="W114" t="s">
        <v>49</v>
      </c>
      <c r="Z114" t="s">
        <v>26</v>
      </c>
      <c r="AC114" t="s">
        <v>327</v>
      </c>
      <c r="AL114" t="s">
        <v>203</v>
      </c>
      <c r="AP114" t="s">
        <v>203</v>
      </c>
      <c r="AT114" t="s">
        <v>129</v>
      </c>
      <c r="AY114" t="s">
        <v>32</v>
      </c>
    </row>
    <row r="115" spans="1:54">
      <c r="D115" t="s">
        <v>117</v>
      </c>
      <c r="R115" t="s">
        <v>203</v>
      </c>
      <c r="W115" t="s">
        <v>50</v>
      </c>
      <c r="AC115">
        <v>1099</v>
      </c>
      <c r="AL115" t="s">
        <v>314</v>
      </c>
      <c r="AP115" t="s">
        <v>63</v>
      </c>
      <c r="AT115" t="s">
        <v>79</v>
      </c>
      <c r="BB115" t="s">
        <v>203</v>
      </c>
    </row>
    <row r="116" spans="1:54">
      <c r="A116" t="s">
        <v>203</v>
      </c>
      <c r="D116" t="s">
        <v>118</v>
      </c>
      <c r="N116" t="s">
        <v>203</v>
      </c>
      <c r="R116" t="s">
        <v>38</v>
      </c>
      <c r="W116" t="s">
        <v>51</v>
      </c>
      <c r="Z116" t="s">
        <v>203</v>
      </c>
      <c r="AC116" t="s">
        <v>203</v>
      </c>
      <c r="AL116" t="s">
        <v>313</v>
      </c>
      <c r="AP116" t="s">
        <v>64</v>
      </c>
      <c r="AY116" t="s">
        <v>203</v>
      </c>
      <c r="BB116" t="s">
        <v>585</v>
      </c>
    </row>
    <row r="117" spans="1:54">
      <c r="A117" t="s">
        <v>74</v>
      </c>
      <c r="N117" t="s">
        <v>38</v>
      </c>
      <c r="R117" t="s">
        <v>193</v>
      </c>
      <c r="W117" t="s">
        <v>52</v>
      </c>
      <c r="Z117" t="s">
        <v>73</v>
      </c>
      <c r="AC117" t="s">
        <v>317</v>
      </c>
      <c r="AL117" t="s">
        <v>312</v>
      </c>
      <c r="AT117" t="s">
        <v>203</v>
      </c>
      <c r="AY117" t="s">
        <v>37</v>
      </c>
      <c r="BB117" t="s">
        <v>586</v>
      </c>
    </row>
    <row r="118" spans="1:54">
      <c r="D118" t="s">
        <v>203</v>
      </c>
      <c r="N118" t="s">
        <v>39</v>
      </c>
      <c r="R118" t="s">
        <v>39</v>
      </c>
      <c r="W118" t="s">
        <v>53</v>
      </c>
      <c r="AC118" t="s">
        <v>316</v>
      </c>
      <c r="AL118" t="s">
        <v>396</v>
      </c>
      <c r="AT118" t="s">
        <v>460</v>
      </c>
      <c r="AY118" t="s">
        <v>324</v>
      </c>
      <c r="BB118" t="s">
        <v>587</v>
      </c>
    </row>
    <row r="119" spans="1:54">
      <c r="A119" t="s">
        <v>203</v>
      </c>
      <c r="D119" t="s">
        <v>492</v>
      </c>
      <c r="N119" t="s">
        <v>89</v>
      </c>
      <c r="R119" t="s">
        <v>40</v>
      </c>
      <c r="W119" t="s">
        <v>54</v>
      </c>
      <c r="Z119" t="s">
        <v>203</v>
      </c>
      <c r="AC119" t="s">
        <v>315</v>
      </c>
      <c r="AL119" t="s">
        <v>311</v>
      </c>
      <c r="AP119" t="s">
        <v>203</v>
      </c>
      <c r="AT119" t="s">
        <v>132</v>
      </c>
      <c r="AY119" t="s">
        <v>323</v>
      </c>
      <c r="BB119" t="s">
        <v>588</v>
      </c>
    </row>
    <row r="120" spans="1:54">
      <c r="A120" t="s">
        <v>650</v>
      </c>
      <c r="D120" t="s">
        <v>131</v>
      </c>
      <c r="R120" t="s">
        <v>89</v>
      </c>
      <c r="W120" t="s">
        <v>55</v>
      </c>
      <c r="Z120" t="s">
        <v>79</v>
      </c>
      <c r="AP120" t="s">
        <v>139</v>
      </c>
      <c r="AT120" t="s">
        <v>133</v>
      </c>
      <c r="AY120" t="s">
        <v>322</v>
      </c>
    </row>
    <row r="121" spans="1:54">
      <c r="A121" t="s">
        <v>649</v>
      </c>
      <c r="D121" t="s">
        <v>247</v>
      </c>
      <c r="N121" t="s">
        <v>203</v>
      </c>
      <c r="R121" t="s">
        <v>599</v>
      </c>
      <c r="AL121" t="s">
        <v>203</v>
      </c>
      <c r="AT121" t="s">
        <v>134</v>
      </c>
      <c r="AY121" t="s">
        <v>321</v>
      </c>
      <c r="BB121" t="s">
        <v>203</v>
      </c>
    </row>
    <row r="122" spans="1:54">
      <c r="D122" t="s">
        <v>248</v>
      </c>
      <c r="N122" t="s">
        <v>43</v>
      </c>
      <c r="W122" t="s">
        <v>203</v>
      </c>
      <c r="Z122" t="s">
        <v>203</v>
      </c>
      <c r="AC122" t="s">
        <v>203</v>
      </c>
      <c r="AI122" t="s">
        <v>203</v>
      </c>
      <c r="AL122" t="s">
        <v>411</v>
      </c>
      <c r="AT122" t="s">
        <v>135</v>
      </c>
      <c r="AY122" t="s">
        <v>320</v>
      </c>
      <c r="BB122" t="s">
        <v>592</v>
      </c>
    </row>
    <row r="123" spans="1:54">
      <c r="D123" t="s">
        <v>50</v>
      </c>
      <c r="N123" t="s">
        <v>44</v>
      </c>
      <c r="R123" t="s">
        <v>203</v>
      </c>
      <c r="W123" t="s">
        <v>46</v>
      </c>
      <c r="Z123" t="s">
        <v>169</v>
      </c>
      <c r="AC123" t="s">
        <v>459</v>
      </c>
      <c r="AI123" t="s">
        <v>388</v>
      </c>
      <c r="AL123" t="s">
        <v>412</v>
      </c>
      <c r="AT123" t="s">
        <v>136</v>
      </c>
      <c r="BB123" t="s">
        <v>300</v>
      </c>
    </row>
    <row r="124" spans="1:54">
      <c r="A124" t="s">
        <v>203</v>
      </c>
      <c r="N124" t="s">
        <v>89</v>
      </c>
      <c r="R124" t="s">
        <v>43</v>
      </c>
      <c r="W124" t="s">
        <v>738</v>
      </c>
      <c r="AC124" t="s">
        <v>309</v>
      </c>
      <c r="AI124" t="s">
        <v>71</v>
      </c>
      <c r="AL124" t="s">
        <v>413</v>
      </c>
      <c r="AT124" t="s">
        <v>474</v>
      </c>
      <c r="AY124" t="s">
        <v>203</v>
      </c>
    </row>
    <row r="125" spans="1:54">
      <c r="A125" t="s">
        <v>501</v>
      </c>
      <c r="D125" t="s">
        <v>203</v>
      </c>
      <c r="R125" t="s">
        <v>44</v>
      </c>
      <c r="Z125" t="s">
        <v>203</v>
      </c>
      <c r="AC125" t="s">
        <v>308</v>
      </c>
      <c r="AL125" t="s">
        <v>414</v>
      </c>
      <c r="AY125">
        <v>24</v>
      </c>
      <c r="BB125" t="s">
        <v>203</v>
      </c>
    </row>
    <row r="126" spans="1:54">
      <c r="A126" t="s">
        <v>500</v>
      </c>
      <c r="D126" t="s">
        <v>59</v>
      </c>
      <c r="N126" t="s">
        <v>203</v>
      </c>
      <c r="R126" t="s">
        <v>89</v>
      </c>
      <c r="W126" t="s">
        <v>203</v>
      </c>
      <c r="Z126" t="s">
        <v>170</v>
      </c>
      <c r="AC126" t="s">
        <v>307</v>
      </c>
      <c r="AL126" t="s">
        <v>415</v>
      </c>
      <c r="AT126" t="s">
        <v>203</v>
      </c>
      <c r="AY126">
        <v>36</v>
      </c>
      <c r="BB126" t="s">
        <v>674</v>
      </c>
    </row>
    <row r="127" spans="1:54">
      <c r="A127" t="s">
        <v>720</v>
      </c>
      <c r="N127" t="s">
        <v>46</v>
      </c>
      <c r="R127" t="s">
        <v>598</v>
      </c>
      <c r="W127" t="s">
        <v>73</v>
      </c>
      <c r="AC127" t="s">
        <v>306</v>
      </c>
      <c r="AT127" t="s">
        <v>506</v>
      </c>
      <c r="AY127">
        <v>60</v>
      </c>
    </row>
    <row r="128" spans="1:54">
      <c r="D128" t="s">
        <v>203</v>
      </c>
      <c r="R128" t="s">
        <v>599</v>
      </c>
      <c r="W128" t="s">
        <v>74</v>
      </c>
      <c r="Z128" t="s">
        <v>203</v>
      </c>
      <c r="AC128" t="s">
        <v>305</v>
      </c>
      <c r="AL128" t="s">
        <v>203</v>
      </c>
      <c r="BB128" t="s">
        <v>203</v>
      </c>
    </row>
    <row r="129" spans="1:58">
      <c r="A129" t="s">
        <v>203</v>
      </c>
      <c r="D129" t="s">
        <v>63</v>
      </c>
      <c r="W129" t="s">
        <v>75</v>
      </c>
      <c r="Z129" t="s">
        <v>460</v>
      </c>
      <c r="AC129" t="s">
        <v>304</v>
      </c>
      <c r="AL129" t="s">
        <v>407</v>
      </c>
      <c r="AY129" t="s">
        <v>203</v>
      </c>
      <c r="BB129" t="s">
        <v>711</v>
      </c>
    </row>
    <row r="130" spans="1:58">
      <c r="A130" t="s">
        <v>63</v>
      </c>
      <c r="D130" t="s">
        <v>194</v>
      </c>
      <c r="N130" t="s">
        <v>203</v>
      </c>
      <c r="R130" t="s">
        <v>203</v>
      </c>
      <c r="Z130" t="s">
        <v>132</v>
      </c>
      <c r="AC130" t="s">
        <v>554</v>
      </c>
      <c r="AL130" t="s">
        <v>408</v>
      </c>
      <c r="AT130" t="s">
        <v>203</v>
      </c>
      <c r="AY130" t="s">
        <v>411</v>
      </c>
      <c r="BB130" t="s">
        <v>712</v>
      </c>
      <c r="BF130" t="s">
        <v>142</v>
      </c>
    </row>
    <row r="131" spans="1:58">
      <c r="A131" t="s">
        <v>194</v>
      </c>
      <c r="D131" t="s">
        <v>64</v>
      </c>
      <c r="N131" t="s">
        <v>48</v>
      </c>
      <c r="R131" t="s">
        <v>492</v>
      </c>
      <c r="W131" t="s">
        <v>203</v>
      </c>
      <c r="Z131" t="s">
        <v>133</v>
      </c>
      <c r="AC131" t="s">
        <v>721</v>
      </c>
      <c r="AL131" t="s">
        <v>409</v>
      </c>
      <c r="AT131" t="s">
        <v>141</v>
      </c>
      <c r="AY131" t="s">
        <v>526</v>
      </c>
      <c r="BB131" t="s">
        <v>203</v>
      </c>
      <c r="BF131" t="s">
        <v>593</v>
      </c>
    </row>
    <row r="132" spans="1:58">
      <c r="A132" t="s">
        <v>279</v>
      </c>
      <c r="N132" t="s">
        <v>49</v>
      </c>
      <c r="R132" t="s">
        <v>131</v>
      </c>
      <c r="W132" t="s">
        <v>77</v>
      </c>
      <c r="Z132" t="s">
        <v>134</v>
      </c>
      <c r="AY132" t="s">
        <v>527</v>
      </c>
      <c r="BB132" t="s">
        <v>589</v>
      </c>
    </row>
    <row r="133" spans="1:58">
      <c r="A133" t="s">
        <v>64</v>
      </c>
      <c r="D133" t="s">
        <v>203</v>
      </c>
      <c r="N133" t="s">
        <v>50</v>
      </c>
      <c r="R133" t="s">
        <v>48</v>
      </c>
      <c r="W133" t="s">
        <v>79</v>
      </c>
      <c r="Z133" t="s">
        <v>135</v>
      </c>
      <c r="AC133" t="s">
        <v>203</v>
      </c>
      <c r="AL133" t="s">
        <v>203</v>
      </c>
      <c r="AT133" t="s">
        <v>203</v>
      </c>
      <c r="AY133" t="s">
        <v>415</v>
      </c>
    </row>
    <row r="134" spans="1:58">
      <c r="D134" t="s">
        <v>140</v>
      </c>
      <c r="N134" t="s">
        <v>51</v>
      </c>
      <c r="R134" t="s">
        <v>49</v>
      </c>
      <c r="W134" t="s">
        <v>80</v>
      </c>
      <c r="Z134" t="s">
        <v>136</v>
      </c>
      <c r="AC134" t="s">
        <v>303</v>
      </c>
      <c r="AL134" t="s">
        <v>291</v>
      </c>
      <c r="AT134" t="s">
        <v>99</v>
      </c>
      <c r="BB134" t="s">
        <v>203</v>
      </c>
      <c r="BF134" t="s">
        <v>479</v>
      </c>
    </row>
    <row r="135" spans="1:58">
      <c r="A135" t="s">
        <v>203</v>
      </c>
      <c r="N135" t="s">
        <v>52</v>
      </c>
      <c r="R135" t="s">
        <v>50</v>
      </c>
      <c r="Z135" t="s">
        <v>137</v>
      </c>
      <c r="AC135" t="s">
        <v>302</v>
      </c>
      <c r="AL135" t="s">
        <v>381</v>
      </c>
      <c r="AT135" t="s">
        <v>100</v>
      </c>
      <c r="AY135" t="s">
        <v>203</v>
      </c>
      <c r="BB135" t="s">
        <v>717</v>
      </c>
      <c r="BF135" t="s">
        <v>594</v>
      </c>
    </row>
    <row r="136" spans="1:58">
      <c r="A136" t="s">
        <v>139</v>
      </c>
      <c r="D136" t="s">
        <v>203</v>
      </c>
      <c r="R136" t="s">
        <v>51</v>
      </c>
      <c r="W136" t="s">
        <v>203</v>
      </c>
      <c r="AL136" t="s">
        <v>203</v>
      </c>
      <c r="AT136" t="s">
        <v>7</v>
      </c>
      <c r="AY136" t="s">
        <v>525</v>
      </c>
      <c r="BB136" t="s">
        <v>718</v>
      </c>
    </row>
    <row r="137" spans="1:58">
      <c r="D137" t="s">
        <v>141</v>
      </c>
      <c r="N137" t="s">
        <v>203</v>
      </c>
      <c r="R137" t="s">
        <v>52</v>
      </c>
      <c r="W137" t="s">
        <v>57</v>
      </c>
      <c r="Z137" t="s">
        <v>203</v>
      </c>
      <c r="AC137" t="s">
        <v>203</v>
      </c>
      <c r="AL137" t="s">
        <v>69</v>
      </c>
      <c r="AT137" t="s">
        <v>9</v>
      </c>
    </row>
    <row r="138" spans="1:58">
      <c r="A138" t="s">
        <v>203</v>
      </c>
      <c r="N138" t="s">
        <v>57</v>
      </c>
      <c r="R138" t="s">
        <v>53</v>
      </c>
      <c r="W138" t="s">
        <v>58</v>
      </c>
      <c r="Z138" t="s">
        <v>604</v>
      </c>
      <c r="AC138" t="s">
        <v>57</v>
      </c>
      <c r="AT138" t="s">
        <v>11</v>
      </c>
      <c r="AY138" t="s">
        <v>203</v>
      </c>
      <c r="BB138" t="s">
        <v>203</v>
      </c>
    </row>
    <row r="139" spans="1:58">
      <c r="A139" t="s">
        <v>140</v>
      </c>
      <c r="D139" t="s">
        <v>203</v>
      </c>
      <c r="N139" t="s">
        <v>58</v>
      </c>
      <c r="R139" t="s">
        <v>54</v>
      </c>
      <c r="W139" t="s">
        <v>59</v>
      </c>
      <c r="AC139" t="s">
        <v>301</v>
      </c>
      <c r="AL139" t="s">
        <v>203</v>
      </c>
      <c r="AT139" t="s">
        <v>101</v>
      </c>
      <c r="AY139" t="s">
        <v>547</v>
      </c>
      <c r="BB139" t="s">
        <v>99</v>
      </c>
    </row>
    <row r="140" spans="1:58">
      <c r="D140" t="s">
        <v>99</v>
      </c>
      <c r="N140" t="s">
        <v>59</v>
      </c>
      <c r="R140" t="s">
        <v>55</v>
      </c>
      <c r="AC140" t="s">
        <v>300</v>
      </c>
      <c r="AL140" t="s">
        <v>139</v>
      </c>
      <c r="BB140" t="s">
        <v>100</v>
      </c>
    </row>
    <row r="141" spans="1:58">
      <c r="A141" t="s">
        <v>203</v>
      </c>
      <c r="D141" t="s">
        <v>100</v>
      </c>
      <c r="W141" t="s">
        <v>203</v>
      </c>
      <c r="Z141" t="s">
        <v>203</v>
      </c>
      <c r="AT141" t="s">
        <v>203</v>
      </c>
      <c r="AY141" t="s">
        <v>203</v>
      </c>
      <c r="BB141" t="s">
        <v>7</v>
      </c>
    </row>
    <row r="142" spans="1:58">
      <c r="A142" t="s">
        <v>141</v>
      </c>
      <c r="D142" t="s">
        <v>7</v>
      </c>
      <c r="N142" t="s">
        <v>203</v>
      </c>
      <c r="W142" t="s">
        <v>63</v>
      </c>
      <c r="Z142" t="s">
        <v>139</v>
      </c>
      <c r="AC142" t="s">
        <v>203</v>
      </c>
      <c r="AL142" t="s">
        <v>203</v>
      </c>
      <c r="AT142" t="s">
        <v>195</v>
      </c>
      <c r="AY142" t="s">
        <v>548</v>
      </c>
      <c r="BB142" t="s">
        <v>9</v>
      </c>
    </row>
    <row r="143" spans="1:58">
      <c r="D143" t="s">
        <v>9</v>
      </c>
      <c r="N143" t="s">
        <v>29</v>
      </c>
      <c r="W143" t="s">
        <v>194</v>
      </c>
      <c r="AC143" t="s">
        <v>299</v>
      </c>
      <c r="AL143" t="s">
        <v>29</v>
      </c>
      <c r="AT143" t="s">
        <v>196</v>
      </c>
      <c r="BB143" t="s">
        <v>11</v>
      </c>
    </row>
    <row r="144" spans="1:58">
      <c r="A144" t="s">
        <v>203</v>
      </c>
      <c r="D144" t="s">
        <v>11</v>
      </c>
      <c r="N144" t="s">
        <v>61</v>
      </c>
      <c r="R144" t="s">
        <v>203</v>
      </c>
      <c r="W144" t="s">
        <v>64</v>
      </c>
      <c r="AC144" t="s">
        <v>298</v>
      </c>
      <c r="AL144" t="s">
        <v>61</v>
      </c>
      <c r="AT144" t="s">
        <v>197</v>
      </c>
      <c r="AY144" t="s">
        <v>203</v>
      </c>
      <c r="BB144" t="s">
        <v>101</v>
      </c>
    </row>
    <row r="145" spans="1:54">
      <c r="A145" t="s">
        <v>99</v>
      </c>
      <c r="D145" t="s">
        <v>101</v>
      </c>
      <c r="R145" t="s">
        <v>73</v>
      </c>
      <c r="AT145" t="s">
        <v>198</v>
      </c>
      <c r="AY145" t="s">
        <v>546</v>
      </c>
    </row>
    <row r="146" spans="1:54">
      <c r="A146" t="s">
        <v>100</v>
      </c>
      <c r="N146" t="s">
        <v>203</v>
      </c>
      <c r="W146" t="s">
        <v>203</v>
      </c>
      <c r="AC146" t="s">
        <v>203</v>
      </c>
      <c r="AL146" t="s">
        <v>203</v>
      </c>
      <c r="BB146" t="s">
        <v>203</v>
      </c>
    </row>
    <row r="147" spans="1:54">
      <c r="A147" t="s">
        <v>7</v>
      </c>
      <c r="D147" t="s">
        <v>203</v>
      </c>
      <c r="N147" t="s">
        <v>63</v>
      </c>
      <c r="R147" t="s">
        <v>203</v>
      </c>
      <c r="W147" t="s">
        <v>43</v>
      </c>
      <c r="AC147" t="s">
        <v>297</v>
      </c>
      <c r="AL147" t="s">
        <v>377</v>
      </c>
      <c r="AT147" t="s">
        <v>203</v>
      </c>
      <c r="BB147" t="s">
        <v>99</v>
      </c>
    </row>
    <row r="148" spans="1:54">
      <c r="A148" t="s">
        <v>9</v>
      </c>
      <c r="D148" t="s">
        <v>69</v>
      </c>
      <c r="R148" t="s">
        <v>214</v>
      </c>
      <c r="W148" t="s">
        <v>44</v>
      </c>
      <c r="AC148" t="s">
        <v>296</v>
      </c>
      <c r="AT148" t="s">
        <v>69</v>
      </c>
      <c r="BB148" t="s">
        <v>100</v>
      </c>
    </row>
    <row r="149" spans="1:54">
      <c r="A149" t="s">
        <v>11</v>
      </c>
      <c r="W149" t="s">
        <v>663</v>
      </c>
      <c r="AC149" t="s">
        <v>295</v>
      </c>
      <c r="AL149" t="s">
        <v>203</v>
      </c>
      <c r="BB149" t="s">
        <v>7</v>
      </c>
    </row>
    <row r="150" spans="1:54">
      <c r="A150" t="s">
        <v>101</v>
      </c>
      <c r="D150" t="s">
        <v>203</v>
      </c>
      <c r="W150" t="s">
        <v>735</v>
      </c>
      <c r="AC150" t="s">
        <v>294</v>
      </c>
      <c r="AL150" t="s">
        <v>43</v>
      </c>
      <c r="AT150" t="s">
        <v>203</v>
      </c>
    </row>
    <row r="151" spans="1:54">
      <c r="D151" t="s">
        <v>508</v>
      </c>
      <c r="N151" t="s">
        <v>203</v>
      </c>
      <c r="W151" t="s">
        <v>736</v>
      </c>
      <c r="AC151" t="s">
        <v>293</v>
      </c>
      <c r="AL151" t="s">
        <v>44</v>
      </c>
      <c r="AT151" t="s">
        <v>172</v>
      </c>
      <c r="BB151" t="s">
        <v>203</v>
      </c>
    </row>
    <row r="152" spans="1:54">
      <c r="A152" t="s">
        <v>203</v>
      </c>
      <c r="N152" t="s">
        <v>66</v>
      </c>
      <c r="R152" t="s">
        <v>203</v>
      </c>
      <c r="AC152" t="s">
        <v>292</v>
      </c>
      <c r="BB152" t="s">
        <v>116</v>
      </c>
    </row>
    <row r="153" spans="1:54">
      <c r="A153" t="s">
        <v>69</v>
      </c>
      <c r="D153" t="s">
        <v>203</v>
      </c>
      <c r="R153" t="s">
        <v>66</v>
      </c>
      <c r="W153" t="s">
        <v>203</v>
      </c>
      <c r="AC153" t="s">
        <v>291</v>
      </c>
      <c r="AL153" t="s">
        <v>203</v>
      </c>
      <c r="AT153" t="s">
        <v>203</v>
      </c>
      <c r="BB153" t="s">
        <v>24</v>
      </c>
    </row>
    <row r="154" spans="1:54">
      <c r="D154" t="s">
        <v>700</v>
      </c>
      <c r="N154" t="s">
        <v>203</v>
      </c>
      <c r="R154" t="s">
        <v>67</v>
      </c>
      <c r="W154" t="s">
        <v>38</v>
      </c>
      <c r="AC154" t="s">
        <v>381</v>
      </c>
      <c r="AL154" t="s">
        <v>410</v>
      </c>
      <c r="AT154" t="s">
        <v>144</v>
      </c>
      <c r="BB154" t="s">
        <v>25</v>
      </c>
    </row>
    <row r="155" spans="1:54">
      <c r="A155" t="s">
        <v>203</v>
      </c>
      <c r="N155" t="s">
        <v>214</v>
      </c>
      <c r="W155" t="s">
        <v>734</v>
      </c>
      <c r="AC155" t="s">
        <v>290</v>
      </c>
      <c r="AL155" t="s">
        <v>325</v>
      </c>
      <c r="BB155" t="s">
        <v>768</v>
      </c>
    </row>
    <row r="156" spans="1:54">
      <c r="A156" t="s">
        <v>634</v>
      </c>
      <c r="D156" t="s">
        <v>203</v>
      </c>
      <c r="R156" t="s">
        <v>446</v>
      </c>
      <c r="W156" t="s">
        <v>39</v>
      </c>
      <c r="AL156" t="s">
        <v>324</v>
      </c>
      <c r="AT156" t="s">
        <v>203</v>
      </c>
    </row>
    <row r="157" spans="1:54">
      <c r="A157" t="s">
        <v>633</v>
      </c>
      <c r="D157" t="s">
        <v>139</v>
      </c>
      <c r="N157" t="s">
        <v>203</v>
      </c>
      <c r="W157" t="s">
        <v>40</v>
      </c>
      <c r="AC157" t="s">
        <v>203</v>
      </c>
      <c r="AL157" t="s">
        <v>323</v>
      </c>
      <c r="AT157">
        <v>30</v>
      </c>
      <c r="BB157" t="s">
        <v>203</v>
      </c>
    </row>
    <row r="158" spans="1:54">
      <c r="A158" t="s">
        <v>403</v>
      </c>
      <c r="N158" t="s">
        <v>69</v>
      </c>
      <c r="R158" t="s">
        <v>203</v>
      </c>
      <c r="W158" t="s">
        <v>89</v>
      </c>
      <c r="AC158" t="s">
        <v>139</v>
      </c>
      <c r="AL158" t="s">
        <v>322</v>
      </c>
      <c r="AT158">
        <v>45</v>
      </c>
      <c r="BB158" t="s">
        <v>167</v>
      </c>
    </row>
    <row r="159" spans="1:54">
      <c r="A159" t="s">
        <v>404</v>
      </c>
      <c r="D159" t="s">
        <v>203</v>
      </c>
      <c r="R159" t="s">
        <v>432</v>
      </c>
      <c r="AL159" t="s">
        <v>321</v>
      </c>
      <c r="BB159" t="s">
        <v>671</v>
      </c>
    </row>
    <row r="160" spans="1:54">
      <c r="A160" t="s">
        <v>405</v>
      </c>
      <c r="D160">
        <v>15</v>
      </c>
      <c r="R160" t="s">
        <v>461</v>
      </c>
      <c r="W160" t="s">
        <v>203</v>
      </c>
      <c r="AC160" t="s">
        <v>203</v>
      </c>
      <c r="AL160" t="s">
        <v>320</v>
      </c>
      <c r="AT160" t="s">
        <v>203</v>
      </c>
    </row>
    <row r="161" spans="1:54">
      <c r="A161" t="s">
        <v>406</v>
      </c>
      <c r="D161">
        <v>30</v>
      </c>
      <c r="N161" t="s">
        <v>203</v>
      </c>
      <c r="R161" t="s">
        <v>89</v>
      </c>
      <c r="W161" t="s">
        <v>504</v>
      </c>
      <c r="AC161" t="s">
        <v>560</v>
      </c>
      <c r="AT161" t="s">
        <v>116</v>
      </c>
      <c r="BB161" t="s">
        <v>203</v>
      </c>
    </row>
    <row r="162" spans="1:54">
      <c r="A162" t="s">
        <v>400</v>
      </c>
      <c r="N162" t="s">
        <v>352</v>
      </c>
      <c r="AC162" t="s">
        <v>89</v>
      </c>
      <c r="AL162" t="s">
        <v>203</v>
      </c>
      <c r="AT162" t="s">
        <v>24</v>
      </c>
      <c r="BB162">
        <v>15</v>
      </c>
    </row>
    <row r="163" spans="1:54">
      <c r="A163" t="s">
        <v>401</v>
      </c>
      <c r="N163" t="s">
        <v>345</v>
      </c>
      <c r="R163" t="s">
        <v>203</v>
      </c>
      <c r="W163" t="s">
        <v>203</v>
      </c>
      <c r="AL163" t="s">
        <v>679</v>
      </c>
      <c r="AT163" t="s">
        <v>25</v>
      </c>
      <c r="BB163">
        <v>30</v>
      </c>
    </row>
    <row r="164" spans="1:54">
      <c r="A164" t="s">
        <v>402</v>
      </c>
      <c r="R164" t="s">
        <v>63</v>
      </c>
      <c r="W164" t="s">
        <v>679</v>
      </c>
      <c r="AT164" t="s">
        <v>26</v>
      </c>
    </row>
    <row r="165" spans="1:54">
      <c r="N165" t="s">
        <v>203</v>
      </c>
      <c r="AT165" t="s">
        <v>25</v>
      </c>
    </row>
    <row r="166" spans="1:54">
      <c r="A166" t="s">
        <v>203</v>
      </c>
      <c r="N166">
        <v>15</v>
      </c>
      <c r="R166" t="s">
        <v>203</v>
      </c>
      <c r="W166" t="s">
        <v>203</v>
      </c>
      <c r="AT166" t="s">
        <v>26</v>
      </c>
    </row>
    <row r="167" spans="1:54">
      <c r="A167" t="s">
        <v>99</v>
      </c>
      <c r="N167">
        <v>30</v>
      </c>
      <c r="R167" t="s">
        <v>433</v>
      </c>
      <c r="W167" t="s">
        <v>37</v>
      </c>
    </row>
    <row r="168" spans="1:54">
      <c r="A168" t="s">
        <v>100</v>
      </c>
      <c r="W168" t="s">
        <v>36</v>
      </c>
    </row>
    <row r="169" spans="1:54">
      <c r="A169" t="s">
        <v>7</v>
      </c>
      <c r="R169" t="s">
        <v>203</v>
      </c>
      <c r="W169" t="s">
        <v>24</v>
      </c>
    </row>
    <row r="170" spans="1:54">
      <c r="A170" t="s">
        <v>9</v>
      </c>
      <c r="N170" t="s">
        <v>203</v>
      </c>
      <c r="R170" t="s">
        <v>381</v>
      </c>
      <c r="W170" t="s">
        <v>25</v>
      </c>
    </row>
    <row r="171" spans="1:54">
      <c r="A171" t="s">
        <v>11</v>
      </c>
      <c r="N171" t="s">
        <v>99</v>
      </c>
      <c r="W171" t="s">
        <v>26</v>
      </c>
    </row>
    <row r="172" spans="1:54">
      <c r="A172" t="s">
        <v>101</v>
      </c>
      <c r="N172" t="s">
        <v>100</v>
      </c>
      <c r="R172" t="s">
        <v>203</v>
      </c>
      <c r="W172" t="s">
        <v>27</v>
      </c>
    </row>
    <row r="173" spans="1:54">
      <c r="N173" t="s">
        <v>7</v>
      </c>
      <c r="R173" t="s">
        <v>434</v>
      </c>
      <c r="W173" t="s">
        <v>28</v>
      </c>
    </row>
    <row r="174" spans="1:54">
      <c r="A174" t="s">
        <v>203</v>
      </c>
      <c r="N174" t="s">
        <v>9</v>
      </c>
      <c r="W174" t="s">
        <v>81</v>
      </c>
    </row>
    <row r="175" spans="1:54">
      <c r="A175" t="s">
        <v>195</v>
      </c>
      <c r="N175" t="s">
        <v>11</v>
      </c>
      <c r="R175" t="s">
        <v>203</v>
      </c>
      <c r="W175" t="s">
        <v>82</v>
      </c>
    </row>
    <row r="176" spans="1:54">
      <c r="A176" t="s">
        <v>196</v>
      </c>
      <c r="N176" t="s">
        <v>12</v>
      </c>
      <c r="R176" t="s">
        <v>435</v>
      </c>
    </row>
    <row r="177" spans="1:23">
      <c r="A177" t="s">
        <v>197</v>
      </c>
      <c r="W177" t="s">
        <v>203</v>
      </c>
    </row>
    <row r="178" spans="1:23">
      <c r="A178" t="s">
        <v>198</v>
      </c>
      <c r="N178" t="s">
        <v>203</v>
      </c>
      <c r="R178" t="s">
        <v>203</v>
      </c>
      <c r="W178" t="s">
        <v>29</v>
      </c>
    </row>
    <row r="179" spans="1:23">
      <c r="N179" t="s">
        <v>504</v>
      </c>
      <c r="R179" t="s">
        <v>436</v>
      </c>
      <c r="W179" t="s">
        <v>61</v>
      </c>
    </row>
    <row r="180" spans="1:23">
      <c r="A180" t="s">
        <v>203</v>
      </c>
      <c r="R180" t="s">
        <v>437</v>
      </c>
    </row>
    <row r="181" spans="1:23">
      <c r="A181" t="s">
        <v>172</v>
      </c>
      <c r="N181" t="s">
        <v>203</v>
      </c>
      <c r="W181" t="s">
        <v>203</v>
      </c>
    </row>
    <row r="182" spans="1:23">
      <c r="N182" t="s">
        <v>679</v>
      </c>
      <c r="R182" t="s">
        <v>203</v>
      </c>
      <c r="W182" t="s">
        <v>214</v>
      </c>
    </row>
    <row r="183" spans="1:23">
      <c r="A183" t="s">
        <v>203</v>
      </c>
      <c r="R183">
        <v>1099</v>
      </c>
    </row>
    <row r="184" spans="1:23">
      <c r="A184" t="s">
        <v>508</v>
      </c>
      <c r="W184" t="s">
        <v>203</v>
      </c>
    </row>
    <row r="185" spans="1:23">
      <c r="R185" t="s">
        <v>203</v>
      </c>
      <c r="W185" t="s">
        <v>66</v>
      </c>
    </row>
    <row r="186" spans="1:23">
      <c r="A186" t="s">
        <v>203</v>
      </c>
      <c r="R186" t="s">
        <v>504</v>
      </c>
      <c r="W186" t="s">
        <v>67</v>
      </c>
    </row>
    <row r="187" spans="1:23">
      <c r="A187" t="s">
        <v>119</v>
      </c>
    </row>
    <row r="188" spans="1:23">
      <c r="A188" t="s">
        <v>120</v>
      </c>
      <c r="R188" t="s">
        <v>203</v>
      </c>
      <c r="W188" t="s">
        <v>203</v>
      </c>
    </row>
    <row r="189" spans="1:23">
      <c r="R189" t="s">
        <v>679</v>
      </c>
      <c r="W189" t="s">
        <v>99</v>
      </c>
    </row>
    <row r="190" spans="1:23">
      <c r="A190" t="s">
        <v>203</v>
      </c>
      <c r="W190" t="s">
        <v>100</v>
      </c>
    </row>
    <row r="191" spans="1:23">
      <c r="A191" t="s">
        <v>733</v>
      </c>
      <c r="W191" t="s">
        <v>7</v>
      </c>
    </row>
    <row r="192" spans="1:23">
      <c r="A192" t="s">
        <v>118</v>
      </c>
      <c r="W192" t="s">
        <v>9</v>
      </c>
    </row>
    <row r="193" spans="1:23">
      <c r="A193" t="s">
        <v>652</v>
      </c>
      <c r="W193" t="s">
        <v>11</v>
      </c>
    </row>
    <row r="194" spans="1:23">
      <c r="A194" t="s">
        <v>651</v>
      </c>
      <c r="W194" t="s">
        <v>654</v>
      </c>
    </row>
    <row r="195" spans="1:23">
      <c r="A195" t="s">
        <v>719</v>
      </c>
    </row>
    <row r="196" spans="1:23">
      <c r="W196" t="s">
        <v>203</v>
      </c>
    </row>
    <row r="197" spans="1:23">
      <c r="A197" t="s">
        <v>203</v>
      </c>
      <c r="W197" t="s">
        <v>69</v>
      </c>
    </row>
    <row r="198" spans="1:23">
      <c r="A198" t="s">
        <v>561</v>
      </c>
    </row>
    <row r="199" spans="1:23">
      <c r="A199" t="s">
        <v>564</v>
      </c>
      <c r="W199" t="s">
        <v>203</v>
      </c>
    </row>
    <row r="200" spans="1:23">
      <c r="A200" t="s">
        <v>562</v>
      </c>
      <c r="W200">
        <v>15</v>
      </c>
    </row>
    <row r="201" spans="1:23">
      <c r="A201" t="s">
        <v>563</v>
      </c>
      <c r="W201">
        <v>30</v>
      </c>
    </row>
    <row r="203" spans="1:23">
      <c r="A203" t="s">
        <v>203</v>
      </c>
      <c r="W203" t="s">
        <v>203</v>
      </c>
    </row>
    <row r="204" spans="1:23">
      <c r="A204" t="s">
        <v>116</v>
      </c>
      <c r="W204" t="s">
        <v>57</v>
      </c>
    </row>
    <row r="205" spans="1:23">
      <c r="A205" t="s">
        <v>24</v>
      </c>
      <c r="W205" t="s">
        <v>59</v>
      </c>
    </row>
    <row r="206" spans="1:23">
      <c r="A206" t="s">
        <v>25</v>
      </c>
    </row>
    <row r="207" spans="1:23">
      <c r="A207" t="s">
        <v>26</v>
      </c>
      <c r="W207" t="s">
        <v>203</v>
      </c>
    </row>
    <row r="208" spans="1:23">
      <c r="A208" t="s">
        <v>27</v>
      </c>
      <c r="W208" t="s">
        <v>352</v>
      </c>
    </row>
    <row r="209" spans="1:23">
      <c r="A209" t="s">
        <v>28</v>
      </c>
      <c r="W209" t="s">
        <v>345</v>
      </c>
    </row>
    <row r="210" spans="1:23">
      <c r="A210" t="s">
        <v>81</v>
      </c>
    </row>
    <row r="211" spans="1:23">
      <c r="A211" t="s">
        <v>82</v>
      </c>
      <c r="W211" t="s">
        <v>203</v>
      </c>
    </row>
    <row r="212" spans="1:23">
      <c r="A212" t="s">
        <v>83</v>
      </c>
      <c r="W212" t="s">
        <v>202</v>
      </c>
    </row>
    <row r="214" spans="1:23">
      <c r="A214" t="s">
        <v>203</v>
      </c>
      <c r="W214" t="s">
        <v>203</v>
      </c>
    </row>
    <row r="215" spans="1:23">
      <c r="A215" s="1575">
        <v>15</v>
      </c>
      <c r="W215" t="s">
        <v>343</v>
      </c>
    </row>
    <row r="216" spans="1:23">
      <c r="A216" s="1575">
        <v>30</v>
      </c>
    </row>
  </sheetData>
  <mergeCells count="10">
    <mergeCell ref="AN16:AP16"/>
    <mergeCell ref="A1:H1"/>
    <mergeCell ref="BV2:BZ2"/>
    <mergeCell ref="J1:Q1"/>
    <mergeCell ref="CB1:CE1"/>
    <mergeCell ref="AN7:AP7"/>
    <mergeCell ref="BJ1:BL1"/>
    <mergeCell ref="BN1:BP1"/>
    <mergeCell ref="BR1:BT1"/>
    <mergeCell ref="BV1:BZ1"/>
  </mergeCells>
  <conditionalFormatting sqref="D38:J46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5.85546875" style="1057" customWidth="1"/>
    <col min="3" max="3" width="10.28515625" style="1057" customWidth="1"/>
    <col min="4" max="4" width="10.42578125" style="1057" customWidth="1"/>
    <col min="5" max="5" width="9.7109375" style="1057" bestFit="1" customWidth="1"/>
    <col min="6" max="6" width="10.7109375" style="1057" bestFit="1" customWidth="1"/>
    <col min="7" max="7" width="16.42578125" style="1057" bestFit="1" customWidth="1"/>
    <col min="8" max="8" width="19.42578125" style="1057" customWidth="1"/>
    <col min="9" max="9" width="13.7109375" style="1057" customWidth="1"/>
    <col min="10" max="10" width="18.140625" style="1057" bestFit="1" customWidth="1"/>
    <col min="11" max="11" width="16.42578125" style="1057" customWidth="1"/>
    <col min="12" max="13" width="13.7109375" style="1057" customWidth="1"/>
    <col min="14" max="14" width="5" style="1057" customWidth="1"/>
    <col min="15" max="15" width="9.140625" style="1056"/>
    <col min="16" max="16" width="19.85546875" style="1056" customWidth="1"/>
    <col min="17" max="17" width="20" style="1056" customWidth="1"/>
    <col min="18" max="18" width="17.42578125" style="1056" customWidth="1"/>
    <col min="19" max="16384" width="9.140625" style="1056"/>
  </cols>
  <sheetData>
    <row r="1" spans="1:18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469"/>
    </row>
    <row r="2" spans="1:18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K2" s="1058" t="s">
        <v>361</v>
      </c>
      <c r="L2" s="1756">
        <f ca="1">NOW()</f>
        <v>45978.399704166666</v>
      </c>
      <c r="M2" s="1756"/>
      <c r="N2" s="1478"/>
    </row>
    <row r="3" spans="1:18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K3" s="1062"/>
      <c r="L3" s="1755" t="s">
        <v>648</v>
      </c>
      <c r="M3" s="1755"/>
      <c r="N3" s="1267"/>
    </row>
    <row r="4" spans="1:18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K4" s="1062"/>
      <c r="L4" s="1462"/>
      <c r="M4" s="1462"/>
      <c r="N4" s="1470"/>
    </row>
    <row r="5" spans="1:18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K5" s="1062"/>
      <c r="L5" s="1487"/>
      <c r="M5" s="1462" t="s">
        <v>182</v>
      </c>
      <c r="N5" s="1061"/>
    </row>
    <row r="6" spans="1:18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470"/>
    </row>
    <row r="7" spans="1:18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470"/>
    </row>
    <row r="8" spans="1:18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267"/>
    </row>
    <row r="9" spans="1:18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249"/>
      <c r="N9" s="1471"/>
    </row>
    <row r="10" spans="1:18" s="1057" customFormat="1" ht="14.25" customHeight="1">
      <c r="A10" s="1757" t="s">
        <v>468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8"/>
      <c r="N10" s="1759"/>
      <c r="P10" s="1717" t="s">
        <v>532</v>
      </c>
      <c r="Q10" s="1718"/>
      <c r="R10" s="1718"/>
    </row>
    <row r="11" spans="1:18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1"/>
      <c r="N11" s="1762"/>
      <c r="P11" s="471"/>
      <c r="Q11" s="471"/>
      <c r="R11" s="471"/>
    </row>
    <row r="12" spans="1:18" s="1057" customFormat="1" ht="15.75" thickBot="1">
      <c r="A12" s="1561"/>
      <c r="B12" s="1249"/>
      <c r="C12" s="2071" t="s">
        <v>476</v>
      </c>
      <c r="D12" s="2072"/>
      <c r="E12" s="2072"/>
      <c r="F12" s="1529"/>
      <c r="G12" s="1249"/>
      <c r="H12" s="1249"/>
      <c r="I12" s="1249"/>
      <c r="J12" s="1249"/>
      <c r="K12" s="1249"/>
      <c r="L12" s="1249"/>
      <c r="M12" s="1249"/>
      <c r="N12" s="1471"/>
      <c r="P12" s="1233" t="s">
        <v>207</v>
      </c>
      <c r="Q12" s="1233" t="s">
        <v>208</v>
      </c>
      <c r="R12" s="1233" t="s">
        <v>209</v>
      </c>
    </row>
    <row r="13" spans="1:18" s="1057" customFormat="1" ht="15.75" thickBot="1">
      <c r="A13" s="1250"/>
      <c r="B13" s="1430" t="s">
        <v>226</v>
      </c>
      <c r="C13" s="1461" t="s">
        <v>521</v>
      </c>
      <c r="D13" s="1430" t="s">
        <v>522</v>
      </c>
      <c r="E13" s="1461" t="s">
        <v>523</v>
      </c>
      <c r="F13" s="1430" t="s">
        <v>32</v>
      </c>
      <c r="H13" s="1202" t="s">
        <v>2</v>
      </c>
      <c r="I13" s="1201"/>
      <c r="J13" s="1062"/>
      <c r="K13" s="1202" t="s">
        <v>334</v>
      </c>
      <c r="L13"/>
      <c r="M13"/>
      <c r="N13" s="1571"/>
      <c r="P13" s="471"/>
      <c r="Q13" s="471"/>
      <c r="R13" s="471"/>
    </row>
    <row r="14" spans="1:18" s="1057" customFormat="1" ht="15.75" thickBot="1">
      <c r="A14" s="1250"/>
      <c r="B14" s="1480">
        <f>margins!BV4</f>
        <v>0.5</v>
      </c>
      <c r="C14" s="1483">
        <v>94.699999999999989</v>
      </c>
      <c r="D14" s="1481">
        <v>94.699999999999989</v>
      </c>
      <c r="E14" s="1562">
        <v>94.699999999999989</v>
      </c>
      <c r="F14" s="1485">
        <v>94.699999999999989</v>
      </c>
      <c r="H14" s="1233" t="s">
        <v>6</v>
      </c>
      <c r="I14" s="1296">
        <v>100</v>
      </c>
      <c r="J14" s="1062"/>
      <c r="K14" s="2079" t="s">
        <v>772</v>
      </c>
      <c r="L14" s="2080"/>
      <c r="M14" s="2081"/>
      <c r="N14" s="1267"/>
      <c r="P14" s="658" t="s">
        <v>210</v>
      </c>
      <c r="Q14" s="484" t="s">
        <v>32</v>
      </c>
      <c r="R14" s="960"/>
    </row>
    <row r="15" spans="1:18" s="1057" customFormat="1" ht="15.75" thickBot="1">
      <c r="A15" s="1250"/>
      <c r="B15" s="1480">
        <f>margins!BV5</f>
        <v>0.625</v>
      </c>
      <c r="C15" s="1483">
        <v>95.25</v>
      </c>
      <c r="D15" s="1481">
        <v>95.25</v>
      </c>
      <c r="E15" s="1562">
        <v>95.25</v>
      </c>
      <c r="F15" s="1485">
        <v>95.25</v>
      </c>
      <c r="H15" s="1233" t="s">
        <v>8</v>
      </c>
      <c r="I15" s="1255">
        <v>0</v>
      </c>
      <c r="J15" s="1062"/>
      <c r="K15" s="2076" t="s">
        <v>773</v>
      </c>
      <c r="L15" s="2077"/>
      <c r="M15" s="2078"/>
      <c r="N15" s="1267"/>
      <c r="P15" s="660" t="s">
        <v>223</v>
      </c>
      <c r="Q15" s="485">
        <v>2.5</v>
      </c>
      <c r="R15" s="489">
        <f>VLOOKUP(Q15,$B$13:$F$60,MATCH(Q14,B13:F13,0), FALSE)</f>
        <v>102.59399999999999</v>
      </c>
    </row>
    <row r="16" spans="1:18" s="1057" customFormat="1" ht="15.75" thickBot="1">
      <c r="A16" s="1250"/>
      <c r="B16" s="1480">
        <f>margins!BV6</f>
        <v>0.75</v>
      </c>
      <c r="C16" s="1483">
        <v>95.787999999999997</v>
      </c>
      <c r="D16" s="1481">
        <v>95.787999999999997</v>
      </c>
      <c r="E16" s="1562">
        <v>95.787999999999997</v>
      </c>
      <c r="F16" s="1485">
        <v>95.787999999999997</v>
      </c>
      <c r="H16" s="1222" t="s">
        <v>10</v>
      </c>
      <c r="I16" s="1493">
        <v>-0.375</v>
      </c>
      <c r="J16" s="1062"/>
      <c r="K16" s="2073" t="s">
        <v>774</v>
      </c>
      <c r="L16" s="2074"/>
      <c r="M16" s="2075"/>
      <c r="N16" s="1267"/>
      <c r="P16" s="660" t="s">
        <v>386</v>
      </c>
      <c r="Q16" s="485" t="s">
        <v>22</v>
      </c>
      <c r="R16" s="489"/>
    </row>
    <row r="17" spans="1:18" s="1057" customFormat="1">
      <c r="A17" s="1250"/>
      <c r="B17" s="1480">
        <f>margins!BV7</f>
        <v>0.875</v>
      </c>
      <c r="C17" s="1483">
        <v>96.312999999999988</v>
      </c>
      <c r="D17" s="1481">
        <v>96.312999999999988</v>
      </c>
      <c r="E17" s="1562">
        <v>96.312999999999988</v>
      </c>
      <c r="F17" s="1485">
        <v>96.312999999999988</v>
      </c>
      <c r="H17"/>
      <c r="I17"/>
      <c r="J17" s="1062"/>
      <c r="K17" s="2073" t="s">
        <v>775</v>
      </c>
      <c r="L17" s="2074"/>
      <c r="M17" s="2075"/>
      <c r="N17" s="1477"/>
      <c r="P17" s="660" t="s">
        <v>212</v>
      </c>
      <c r="Q17" s="485" t="s">
        <v>322</v>
      </c>
      <c r="R17" s="959"/>
    </row>
    <row r="18" spans="1:18" s="1057" customFormat="1" ht="15.75" thickBot="1">
      <c r="A18" s="1250"/>
      <c r="B18" s="1480">
        <f>margins!BV8</f>
        <v>1</v>
      </c>
      <c r="C18" s="1483">
        <v>96.824999999999989</v>
      </c>
      <c r="D18" s="1481">
        <v>96.824999999999989</v>
      </c>
      <c r="E18" s="1562">
        <v>96.824999999999989</v>
      </c>
      <c r="F18" s="1485">
        <v>96.824999999999989</v>
      </c>
      <c r="H18"/>
      <c r="I18"/>
      <c r="J18" s="1062"/>
      <c r="K18" s="1569" t="s">
        <v>776</v>
      </c>
      <c r="L18" s="1570">
        <v>7.25</v>
      </c>
      <c r="M18" s="1573"/>
      <c r="N18" s="1572"/>
      <c r="P18" s="660" t="s">
        <v>525</v>
      </c>
      <c r="Q18" s="485" t="s">
        <v>203</v>
      </c>
      <c r="R18" s="959">
        <f>IF(Q18="Choose a Selection",0,(INDEX($E$65:$M$70,MATCH(Q17,$C$65:$C$70,0),MATCH($Q$16,$E$64:$M$64,0),1)))</f>
        <v>0</v>
      </c>
    </row>
    <row r="19" spans="1:18" s="1057" customFormat="1" ht="15" customHeight="1">
      <c r="A19" s="1250"/>
      <c r="B19" s="1480">
        <f>margins!BV9</f>
        <v>1.125</v>
      </c>
      <c r="C19" s="1483">
        <v>97.324999999999989</v>
      </c>
      <c r="D19" s="1481">
        <v>97.324999999999989</v>
      </c>
      <c r="E19" s="1562">
        <v>97.324999999999989</v>
      </c>
      <c r="F19" s="1485">
        <v>97.324999999999989</v>
      </c>
      <c r="H19" s="1725" t="s">
        <v>30</v>
      </c>
      <c r="I19" s="1732"/>
      <c r="J19" s="1062"/>
      <c r="M19" s="1568"/>
      <c r="N19" s="1572"/>
      <c r="P19" s="660" t="s">
        <v>547</v>
      </c>
      <c r="Q19" s="485" t="s">
        <v>203</v>
      </c>
      <c r="R19" s="959">
        <f>IF(Q19="Choose a Selection",0,(INDEX($E$71:$M$71,1,MATCH($Q$16,$E$64:$M$64,0),1)))</f>
        <v>0</v>
      </c>
    </row>
    <row r="20" spans="1:18" s="1057" customFormat="1">
      <c r="A20" s="1250"/>
      <c r="B20" s="1480">
        <f>margins!BV10</f>
        <v>1.25</v>
      </c>
      <c r="C20" s="1483">
        <v>97.812999999999988</v>
      </c>
      <c r="D20" s="1481">
        <v>97.812999999999988</v>
      </c>
      <c r="E20" s="1562">
        <v>97.812999999999988</v>
      </c>
      <c r="F20" s="1485">
        <v>97.812999999999988</v>
      </c>
      <c r="H20" s="1494" t="s">
        <v>84</v>
      </c>
      <c r="I20" s="1252">
        <v>-0.25</v>
      </c>
      <c r="J20" s="1062"/>
      <c r="K20"/>
      <c r="L20"/>
      <c r="M20"/>
      <c r="N20" s="1489"/>
      <c r="P20" s="660" t="s">
        <v>548</v>
      </c>
      <c r="Q20" s="485" t="s">
        <v>203</v>
      </c>
      <c r="R20" s="959">
        <f>IF(Q20="Choose a Selection",0,(INDEX($E$72:$M$77,MATCH(Q17,$C$72:$C$77,0),MATCH($Q$16,$E$64:$M$64,0),1)))</f>
        <v>0</v>
      </c>
    </row>
    <row r="21" spans="1:18" s="1057" customFormat="1" ht="15" customHeight="1">
      <c r="A21" s="1250"/>
      <c r="B21" s="1480">
        <f>margins!BV11</f>
        <v>1.375</v>
      </c>
      <c r="C21" s="1483">
        <v>98.287999999999997</v>
      </c>
      <c r="D21" s="1481">
        <v>98.287999999999997</v>
      </c>
      <c r="E21" s="1562">
        <v>98.287999999999997</v>
      </c>
      <c r="F21" s="1485">
        <v>98.287999999999997</v>
      </c>
      <c r="H21" s="1494" t="s">
        <v>85</v>
      </c>
      <c r="I21" s="1252">
        <v>-0.32500000000000001</v>
      </c>
      <c r="J21" s="1062"/>
      <c r="K21"/>
      <c r="L21"/>
      <c r="M21"/>
      <c r="N21" s="1489"/>
      <c r="P21" s="660" t="s">
        <v>546</v>
      </c>
      <c r="Q21" s="485" t="s">
        <v>203</v>
      </c>
      <c r="R21" s="959">
        <f>IF(Q21="Choose a Selection",0,(INDEX($E$78:$M$78,1,MATCH($Q$16,$E$64:$M$64,0),1)))</f>
        <v>0</v>
      </c>
    </row>
    <row r="22" spans="1:18" s="1057" customFormat="1">
      <c r="A22" s="1250"/>
      <c r="B22" s="1480">
        <f>margins!BV12</f>
        <v>1.5</v>
      </c>
      <c r="C22" s="1483">
        <v>98.625</v>
      </c>
      <c r="D22" s="1481">
        <v>98.625</v>
      </c>
      <c r="E22" s="1562">
        <v>98.625</v>
      </c>
      <c r="F22" s="1485">
        <v>98.625</v>
      </c>
      <c r="H22" s="1494" t="s">
        <v>86</v>
      </c>
      <c r="I22" s="1500">
        <v>-0.55000000000000004</v>
      </c>
      <c r="J22" s="1202"/>
      <c r="K22"/>
      <c r="L22"/>
      <c r="M22"/>
      <c r="N22" s="1489"/>
      <c r="P22" s="660" t="s">
        <v>531</v>
      </c>
      <c r="Q22" s="485" t="s">
        <v>203</v>
      </c>
      <c r="R22" s="959">
        <f t="shared" ref="R22:R27" si="0">IF(Q22="Choose a Selection",0,(INDEX($E$65:$M$93,MATCH(Q22,$C$65:$C$93,0),MATCH($Q$16,$E$64:$M$64,0),1)))</f>
        <v>0</v>
      </c>
    </row>
    <row r="23" spans="1:18" s="1057" customFormat="1" ht="15.75" customHeight="1" thickBot="1">
      <c r="A23" s="1203"/>
      <c r="B23" s="1480">
        <f>margins!BV13</f>
        <v>1.625</v>
      </c>
      <c r="C23" s="1483">
        <v>99.074999999999989</v>
      </c>
      <c r="D23" s="1481">
        <v>99.074999999999989</v>
      </c>
      <c r="E23" s="1562">
        <v>99.074999999999989</v>
      </c>
      <c r="F23" s="1485">
        <v>99.074999999999989</v>
      </c>
      <c r="H23" s="1495" t="s">
        <v>87</v>
      </c>
      <c r="I23" s="1258">
        <v>-0.65</v>
      </c>
      <c r="J23"/>
      <c r="K23"/>
      <c r="L23"/>
      <c r="M23"/>
      <c r="N23" s="1489"/>
      <c r="P23" s="660" t="s">
        <v>45</v>
      </c>
      <c r="Q23" s="485" t="s">
        <v>203</v>
      </c>
      <c r="R23" s="959">
        <f t="shared" si="0"/>
        <v>0</v>
      </c>
    </row>
    <row r="24" spans="1:18" s="1057" customFormat="1">
      <c r="A24" s="1203"/>
      <c r="B24" s="1480">
        <f>margins!BV14</f>
        <v>1.75</v>
      </c>
      <c r="C24" s="1483">
        <v>99.512999999999991</v>
      </c>
      <c r="D24" s="1481">
        <v>99.512999999999991</v>
      </c>
      <c r="E24" s="1562">
        <v>99.512999999999991</v>
      </c>
      <c r="F24" s="1485">
        <v>99.512999999999991</v>
      </c>
      <c r="H24" s="1057" t="s">
        <v>330</v>
      </c>
      <c r="I24"/>
      <c r="J24"/>
      <c r="K24"/>
      <c r="L24"/>
      <c r="M24"/>
      <c r="N24" s="1489"/>
      <c r="P24" s="660" t="s">
        <v>310</v>
      </c>
      <c r="Q24" s="485" t="s">
        <v>203</v>
      </c>
      <c r="R24" s="959">
        <f t="shared" si="0"/>
        <v>0</v>
      </c>
    </row>
    <row r="25" spans="1:18" s="1057" customFormat="1" ht="15" customHeight="1">
      <c r="A25" s="1203"/>
      <c r="B25" s="1480">
        <f>margins!BV15</f>
        <v>1.875</v>
      </c>
      <c r="C25" s="1483">
        <v>100.18799999999999</v>
      </c>
      <c r="D25" s="1481">
        <v>100.18799999999999</v>
      </c>
      <c r="E25" s="1562">
        <v>100.18799999999999</v>
      </c>
      <c r="F25" s="1485">
        <v>100.18799999999999</v>
      </c>
      <c r="H25"/>
      <c r="I25"/>
      <c r="J25"/>
      <c r="K25"/>
      <c r="L25"/>
      <c r="M25"/>
      <c r="N25" s="1489"/>
      <c r="P25" s="660" t="s">
        <v>60</v>
      </c>
      <c r="Q25" s="485" t="s">
        <v>203</v>
      </c>
      <c r="R25" s="959">
        <f t="shared" si="0"/>
        <v>0</v>
      </c>
    </row>
    <row r="26" spans="1:18" s="1057" customFormat="1" ht="14.25" customHeight="1" thickBot="1">
      <c r="A26" s="1203"/>
      <c r="B26" s="1480">
        <f>margins!BV16</f>
        <v>2</v>
      </c>
      <c r="C26" s="1483">
        <v>100.72499999999999</v>
      </c>
      <c r="D26" s="1481">
        <v>100.72499999999999</v>
      </c>
      <c r="E26" s="1562">
        <v>100.72499999999999</v>
      </c>
      <c r="F26" s="1485">
        <v>100.72499999999999</v>
      </c>
      <c r="L26"/>
      <c r="M26"/>
      <c r="N26" s="1489"/>
      <c r="P26" s="660" t="s">
        <v>62</v>
      </c>
      <c r="Q26" s="485" t="s">
        <v>203</v>
      </c>
      <c r="R26" s="959">
        <f t="shared" si="0"/>
        <v>0</v>
      </c>
    </row>
    <row r="27" spans="1:18" s="1057" customFormat="1">
      <c r="A27" s="1203"/>
      <c r="B27" s="1480">
        <f>margins!BV17</f>
        <v>2.125</v>
      </c>
      <c r="C27" s="1483">
        <v>101.131</v>
      </c>
      <c r="D27" s="1481">
        <v>101.131</v>
      </c>
      <c r="E27" s="1562">
        <v>101.131</v>
      </c>
      <c r="F27" s="1485">
        <v>101.131</v>
      </c>
      <c r="H27" s="1233" t="s">
        <v>210</v>
      </c>
      <c r="I27" s="1233" t="s">
        <v>528</v>
      </c>
      <c r="J27" s="1233" t="s">
        <v>529</v>
      </c>
      <c r="K27" s="1233" t="s">
        <v>530</v>
      </c>
      <c r="L27"/>
      <c r="M27"/>
      <c r="N27" s="1489"/>
      <c r="P27" s="660" t="s">
        <v>138</v>
      </c>
      <c r="Q27" s="485" t="s">
        <v>203</v>
      </c>
      <c r="R27" s="959">
        <f t="shared" si="0"/>
        <v>0</v>
      </c>
    </row>
    <row r="28" spans="1:18" s="1057" customFormat="1" ht="14.25" customHeight="1">
      <c r="A28" s="1203"/>
      <c r="B28" s="1480">
        <f>margins!BV18</f>
        <v>2.25</v>
      </c>
      <c r="C28" s="1483">
        <v>101.663</v>
      </c>
      <c r="D28" s="1481">
        <v>101.663</v>
      </c>
      <c r="E28" s="1562">
        <v>101.663</v>
      </c>
      <c r="F28" s="1485">
        <v>101.663</v>
      </c>
      <c r="H28" s="1564" t="s">
        <v>783</v>
      </c>
      <c r="I28" s="1566">
        <v>2</v>
      </c>
      <c r="J28" s="1566">
        <v>13</v>
      </c>
      <c r="K28" s="1566">
        <v>15</v>
      </c>
      <c r="L28"/>
      <c r="M28"/>
      <c r="N28" s="1489"/>
      <c r="P28" s="660" t="s">
        <v>217</v>
      </c>
      <c r="Q28" s="485" t="s">
        <v>203</v>
      </c>
      <c r="R28" s="959">
        <f>IF(Q28=15,0,IF(Q28=30,I16, 0))</f>
        <v>0</v>
      </c>
    </row>
    <row r="29" spans="1:18" s="1057" customFormat="1">
      <c r="A29" s="1203"/>
      <c r="B29" s="1480">
        <f>margins!BV19</f>
        <v>2.375</v>
      </c>
      <c r="C29" s="1483">
        <v>102.06899999999999</v>
      </c>
      <c r="D29" s="1481">
        <v>102.06899999999999</v>
      </c>
      <c r="E29" s="1562">
        <v>102.06899999999999</v>
      </c>
      <c r="F29" s="1485">
        <v>102.06899999999999</v>
      </c>
      <c r="H29" s="1564" t="s">
        <v>784</v>
      </c>
      <c r="I29" s="1566">
        <v>2</v>
      </c>
      <c r="J29" s="1566">
        <v>18</v>
      </c>
      <c r="K29" s="1566">
        <v>20</v>
      </c>
      <c r="L29"/>
      <c r="M29"/>
      <c r="N29" s="1477"/>
      <c r="P29" s="966" t="s">
        <v>218</v>
      </c>
      <c r="Q29" s="967"/>
      <c r="R29" s="974">
        <f>SUM(R18:R28)</f>
        <v>0</v>
      </c>
    </row>
    <row r="30" spans="1:18" s="1057" customFormat="1" ht="15.75" thickBot="1">
      <c r="A30" s="1203"/>
      <c r="B30" s="1480">
        <f>margins!BV20</f>
        <v>2.5</v>
      </c>
      <c r="C30" s="1483">
        <v>102.59399999999999</v>
      </c>
      <c r="D30" s="1481">
        <v>102.59399999999999</v>
      </c>
      <c r="E30" s="1562">
        <v>102.59399999999999</v>
      </c>
      <c r="F30" s="1485">
        <v>102.59399999999999</v>
      </c>
      <c r="G30" s="1202"/>
      <c r="H30" s="1564" t="s">
        <v>785</v>
      </c>
      <c r="I30" s="1566">
        <v>2</v>
      </c>
      <c r="J30" s="1566">
        <v>23</v>
      </c>
      <c r="K30" s="1566">
        <v>25</v>
      </c>
      <c r="L30"/>
      <c r="M30"/>
      <c r="N30" s="1473"/>
      <c r="P30" s="968" t="s">
        <v>543</v>
      </c>
      <c r="Q30" s="969">
        <f>Q15+$L$18</f>
        <v>9.75</v>
      </c>
      <c r="R30" s="970"/>
    </row>
    <row r="31" spans="1:18" s="1057" customFormat="1" ht="15.75" thickBot="1">
      <c r="A31" s="1203"/>
      <c r="B31" s="1480">
        <f>margins!BV21</f>
        <v>2.625</v>
      </c>
      <c r="C31" s="1483">
        <v>102.988</v>
      </c>
      <c r="D31" s="1481">
        <v>102.988</v>
      </c>
      <c r="E31" s="1562">
        <v>102.988</v>
      </c>
      <c r="F31" s="1485">
        <v>102.988</v>
      </c>
      <c r="G31" s="1202"/>
      <c r="H31" s="1564" t="s">
        <v>786</v>
      </c>
      <c r="I31" s="1566">
        <v>2</v>
      </c>
      <c r="J31" s="1566">
        <v>28</v>
      </c>
      <c r="K31" s="1566">
        <v>30</v>
      </c>
      <c r="L31"/>
      <c r="M31"/>
      <c r="N31" s="1473"/>
      <c r="P31" s="473"/>
      <c r="Q31" s="474"/>
      <c r="R31" s="483"/>
    </row>
    <row r="32" spans="1:18" s="1057" customFormat="1" ht="15.75" thickBot="1">
      <c r="A32" s="1203"/>
      <c r="B32" s="1480">
        <f>margins!BV22</f>
        <v>2.75</v>
      </c>
      <c r="C32" s="1483">
        <v>103.375</v>
      </c>
      <c r="D32" s="1481">
        <v>103.375</v>
      </c>
      <c r="E32" s="1562">
        <v>103.375</v>
      </c>
      <c r="F32" s="1485">
        <v>103.375</v>
      </c>
      <c r="H32" s="1564" t="s">
        <v>783</v>
      </c>
      <c r="I32" s="1566">
        <v>3</v>
      </c>
      <c r="J32" s="1566">
        <v>12</v>
      </c>
      <c r="K32" s="1566">
        <v>15</v>
      </c>
      <c r="L32"/>
      <c r="M32"/>
      <c r="N32" s="1061"/>
      <c r="P32" s="475" t="s">
        <v>219</v>
      </c>
      <c r="Q32" s="476"/>
      <c r="R32" s="663">
        <f>IF(ISNUMBER(MATCH("NA", R18:R28, 0)), "NA",MIN(I14,(R15+R29)))</f>
        <v>100</v>
      </c>
    </row>
    <row r="33" spans="1:18" s="1057" customFormat="1" ht="15.75" thickBot="1">
      <c r="A33" s="1203"/>
      <c r="B33" s="1480">
        <f>margins!BV23</f>
        <v>2.875</v>
      </c>
      <c r="C33" s="1483">
        <v>103.756</v>
      </c>
      <c r="D33" s="1481">
        <v>103.756</v>
      </c>
      <c r="E33" s="1562">
        <v>103.756</v>
      </c>
      <c r="F33" s="1485">
        <v>103.756</v>
      </c>
      <c r="H33" s="1564" t="s">
        <v>784</v>
      </c>
      <c r="I33" s="1566">
        <v>3</v>
      </c>
      <c r="J33" s="1566">
        <v>17</v>
      </c>
      <c r="K33" s="1566">
        <v>20</v>
      </c>
      <c r="L33"/>
      <c r="M33"/>
      <c r="N33" s="1061"/>
      <c r="P33" s="470"/>
      <c r="Q33" s="470"/>
      <c r="R33" s="470"/>
    </row>
    <row r="34" spans="1:18" s="1057" customFormat="1" ht="15.75" thickBot="1">
      <c r="A34" s="1203"/>
      <c r="B34" s="1480">
        <f>margins!BV24</f>
        <v>3</v>
      </c>
      <c r="C34" s="1483">
        <v>104.131</v>
      </c>
      <c r="D34" s="1481">
        <v>104.131</v>
      </c>
      <c r="E34" s="1562">
        <v>104.131</v>
      </c>
      <c r="F34" s="1485">
        <v>104.131</v>
      </c>
      <c r="H34" s="1564" t="s">
        <v>785</v>
      </c>
      <c r="I34" s="1566">
        <v>3</v>
      </c>
      <c r="J34" s="1566">
        <v>22</v>
      </c>
      <c r="K34" s="1566">
        <v>25</v>
      </c>
      <c r="L34"/>
      <c r="M34"/>
      <c r="N34" s="1061"/>
      <c r="P34" s="846" t="s">
        <v>540</v>
      </c>
      <c r="Q34" s="847"/>
      <c r="R34" s="848"/>
    </row>
    <row r="35" spans="1:18" s="1057" customFormat="1">
      <c r="A35" s="1203"/>
      <c r="B35" s="1480">
        <f>margins!BV25</f>
        <v>3.125</v>
      </c>
      <c r="C35" s="1483">
        <v>104.5</v>
      </c>
      <c r="D35" s="1481">
        <v>104.5</v>
      </c>
      <c r="E35" s="1562">
        <v>104.5</v>
      </c>
      <c r="F35" s="1485">
        <v>104.5</v>
      </c>
      <c r="H35" s="1564" t="s">
        <v>786</v>
      </c>
      <c r="I35" s="1566">
        <v>3</v>
      </c>
      <c r="J35" s="1566">
        <v>27</v>
      </c>
      <c r="K35" s="1566">
        <v>30</v>
      </c>
      <c r="N35" s="1061"/>
    </row>
    <row r="36" spans="1:18" s="1057" customFormat="1">
      <c r="A36" s="1203"/>
      <c r="B36" s="1480">
        <f>margins!BV26</f>
        <v>3.25</v>
      </c>
      <c r="C36" s="1483">
        <v>104.613</v>
      </c>
      <c r="D36" s="1481">
        <v>104.613</v>
      </c>
      <c r="E36" s="1562">
        <v>104.613</v>
      </c>
      <c r="F36" s="1485">
        <v>104.613</v>
      </c>
      <c r="H36" s="1564" t="s">
        <v>783</v>
      </c>
      <c r="I36" s="1566">
        <v>5</v>
      </c>
      <c r="J36" s="1566">
        <v>10</v>
      </c>
      <c r="K36" s="1566">
        <v>15</v>
      </c>
      <c r="N36" s="1061"/>
    </row>
    <row r="37" spans="1:18" s="1057" customFormat="1">
      <c r="A37" s="1203"/>
      <c r="B37" s="1480">
        <f>margins!BV27</f>
        <v>3.375</v>
      </c>
      <c r="C37" s="1483">
        <v>104.94399999999999</v>
      </c>
      <c r="D37" s="1481">
        <v>104.94399999999999</v>
      </c>
      <c r="E37" s="1562">
        <v>104.94399999999999</v>
      </c>
      <c r="F37" s="1485">
        <v>104.94399999999999</v>
      </c>
      <c r="H37" s="1564" t="s">
        <v>784</v>
      </c>
      <c r="I37" s="1566">
        <v>5</v>
      </c>
      <c r="J37" s="1566">
        <v>15</v>
      </c>
      <c r="K37" s="1566">
        <v>20</v>
      </c>
      <c r="N37" s="1061"/>
    </row>
    <row r="38" spans="1:18" s="1057" customFormat="1">
      <c r="A38" s="1203"/>
      <c r="B38" s="1480">
        <f>margins!BV28</f>
        <v>3.5</v>
      </c>
      <c r="C38" s="1483">
        <v>105.244</v>
      </c>
      <c r="D38" s="1481">
        <v>105.244</v>
      </c>
      <c r="E38" s="1562">
        <v>105.244</v>
      </c>
      <c r="F38" s="1485">
        <v>105.244</v>
      </c>
      <c r="H38" s="1564" t="s">
        <v>785</v>
      </c>
      <c r="I38" s="1566">
        <v>5</v>
      </c>
      <c r="J38" s="1566">
        <v>20</v>
      </c>
      <c r="K38" s="1566">
        <v>25</v>
      </c>
      <c r="N38" s="1061"/>
    </row>
    <row r="39" spans="1:18" s="1057" customFormat="1" ht="15.75" thickBot="1">
      <c r="A39" s="1203"/>
      <c r="B39" s="1480">
        <f>margins!BV29</f>
        <v>3.625</v>
      </c>
      <c r="C39" s="1483">
        <v>105.51299999999999</v>
      </c>
      <c r="D39" s="1481">
        <v>105.51299999999999</v>
      </c>
      <c r="E39" s="1562">
        <v>105.51299999999999</v>
      </c>
      <c r="F39" s="1485">
        <v>105.51299999999999</v>
      </c>
      <c r="H39" s="1565" t="s">
        <v>786</v>
      </c>
      <c r="I39" s="1567">
        <v>5</v>
      </c>
      <c r="J39" s="1567">
        <v>25</v>
      </c>
      <c r="K39" s="1567">
        <v>30</v>
      </c>
      <c r="N39" s="1061"/>
    </row>
    <row r="40" spans="1:18" s="1057" customFormat="1">
      <c r="A40" s="1203"/>
      <c r="B40" s="1480">
        <f>margins!BV30</f>
        <v>3.75</v>
      </c>
      <c r="C40" s="1483">
        <v>105.75</v>
      </c>
      <c r="D40" s="1481">
        <v>105.75</v>
      </c>
      <c r="E40" s="1562">
        <v>105.75</v>
      </c>
      <c r="F40" s="1485">
        <v>105.75</v>
      </c>
      <c r="N40" s="1061"/>
    </row>
    <row r="41" spans="1:18" s="1057" customFormat="1">
      <c r="A41" s="1203"/>
      <c r="B41" s="1480">
        <f>margins!BV31</f>
        <v>3.875</v>
      </c>
      <c r="C41" s="1483">
        <v>105.95599999999999</v>
      </c>
      <c r="D41" s="1481">
        <v>105.95599999999999</v>
      </c>
      <c r="E41" s="1562">
        <v>105.95599999999999</v>
      </c>
      <c r="F41" s="1485">
        <v>105.95599999999999</v>
      </c>
      <c r="N41" s="1061"/>
    </row>
    <row r="42" spans="1:18" s="1057" customFormat="1">
      <c r="A42" s="1203"/>
      <c r="B42" s="1480">
        <f>margins!BV32</f>
        <v>4</v>
      </c>
      <c r="C42" s="1483">
        <v>106.131</v>
      </c>
      <c r="D42" s="1481">
        <v>106.131</v>
      </c>
      <c r="E42" s="1562">
        <v>106.131</v>
      </c>
      <c r="F42" s="1485">
        <v>106.131</v>
      </c>
      <c r="N42" s="1061"/>
    </row>
    <row r="43" spans="1:18" s="1057" customFormat="1">
      <c r="A43" s="1203"/>
      <c r="B43" s="1480">
        <f>margins!BV33</f>
        <v>4.125</v>
      </c>
      <c r="C43" s="1483">
        <v>106.27499999999999</v>
      </c>
      <c r="D43" s="1481">
        <v>106.27499999999999</v>
      </c>
      <c r="E43" s="1562">
        <v>106.27499999999999</v>
      </c>
      <c r="F43" s="1485">
        <v>106.27499999999999</v>
      </c>
      <c r="N43" s="1061"/>
    </row>
    <row r="44" spans="1:18" s="1057" customFormat="1">
      <c r="A44" s="1203"/>
      <c r="B44" s="1480">
        <f>margins!BV34</f>
        <v>4.25</v>
      </c>
      <c r="C44" s="1483">
        <v>106.38799999999999</v>
      </c>
      <c r="D44" s="1481">
        <v>106.38799999999999</v>
      </c>
      <c r="E44" s="1562">
        <v>106.38799999999999</v>
      </c>
      <c r="F44" s="1485">
        <v>106.38799999999999</v>
      </c>
      <c r="N44" s="1061"/>
    </row>
    <row r="45" spans="1:18" s="1057" customFormat="1">
      <c r="A45" s="1203"/>
      <c r="B45" s="1480">
        <f>margins!BV35</f>
        <v>4.375</v>
      </c>
      <c r="C45" s="1483">
        <v>106.46899999999999</v>
      </c>
      <c r="D45" s="1481">
        <v>106.46899999999999</v>
      </c>
      <c r="E45" s="1562">
        <v>106.46899999999999</v>
      </c>
      <c r="F45" s="1485">
        <v>106.46899999999999</v>
      </c>
      <c r="N45" s="1061"/>
    </row>
    <row r="46" spans="1:18" s="1057" customFormat="1">
      <c r="A46" s="1203"/>
      <c r="B46" s="1480">
        <f>margins!BV36</f>
        <v>4.5</v>
      </c>
      <c r="C46" s="1483">
        <v>106.51899999999999</v>
      </c>
      <c r="D46" s="1481">
        <v>106.51899999999999</v>
      </c>
      <c r="E46" s="1562">
        <v>106.51899999999999</v>
      </c>
      <c r="F46" s="1485">
        <v>106.51899999999999</v>
      </c>
      <c r="N46" s="1061"/>
    </row>
    <row r="47" spans="1:18" s="1057" customFormat="1">
      <c r="A47" s="1203"/>
      <c r="B47" s="1480">
        <f>margins!BV37</f>
        <v>4.625</v>
      </c>
      <c r="C47" s="1483">
        <v>106.538</v>
      </c>
      <c r="D47" s="1481">
        <v>106.538</v>
      </c>
      <c r="E47" s="1562">
        <v>106.538</v>
      </c>
      <c r="F47" s="1485">
        <v>106.538</v>
      </c>
      <c r="N47" s="1061"/>
    </row>
    <row r="48" spans="1:18" s="1057" customFormat="1">
      <c r="A48" s="1203"/>
      <c r="B48" s="1480">
        <f>margins!BV38</f>
        <v>4.75</v>
      </c>
      <c r="C48" s="1483">
        <v>106.556</v>
      </c>
      <c r="D48" s="1481">
        <v>106.556</v>
      </c>
      <c r="E48" s="1562">
        <v>106.556</v>
      </c>
      <c r="F48" s="1485">
        <v>106.556</v>
      </c>
      <c r="N48" s="1061"/>
    </row>
    <row r="49" spans="1:14" s="1057" customFormat="1">
      <c r="A49" s="1203"/>
      <c r="B49" s="1480">
        <f>margins!BV39</f>
        <v>4.875</v>
      </c>
      <c r="C49" s="1483">
        <v>106.57499999999999</v>
      </c>
      <c r="D49" s="1481">
        <v>106.57499999999999</v>
      </c>
      <c r="E49" s="1562">
        <v>106.57499999999999</v>
      </c>
      <c r="F49" s="1485">
        <v>106.57499999999999</v>
      </c>
      <c r="N49" s="1061"/>
    </row>
    <row r="50" spans="1:14" s="1057" customFormat="1">
      <c r="A50" s="1203"/>
      <c r="B50" s="1480">
        <f>margins!BV40</f>
        <v>5</v>
      </c>
      <c r="C50" s="1483">
        <v>106.59399999999999</v>
      </c>
      <c r="D50" s="1481">
        <v>106.59399999999999</v>
      </c>
      <c r="E50" s="1562">
        <v>106.59399999999999</v>
      </c>
      <c r="F50" s="1485">
        <v>106.59399999999999</v>
      </c>
      <c r="N50" s="1061"/>
    </row>
    <row r="51" spans="1:14" s="1057" customFormat="1">
      <c r="A51" s="1203"/>
      <c r="B51" s="1480">
        <f>margins!BV41</f>
        <v>5.125</v>
      </c>
      <c r="C51" s="1483">
        <v>106.613</v>
      </c>
      <c r="D51" s="1481">
        <v>106.613</v>
      </c>
      <c r="E51" s="1562">
        <v>106.613</v>
      </c>
      <c r="F51" s="1485">
        <v>106.613</v>
      </c>
      <c r="N51" s="1061"/>
    </row>
    <row r="52" spans="1:14" s="1057" customFormat="1">
      <c r="A52" s="1203"/>
      <c r="B52" s="1480">
        <f>margins!BV42</f>
        <v>5.25</v>
      </c>
      <c r="C52" s="1483">
        <v>106.631</v>
      </c>
      <c r="D52" s="1481">
        <v>106.631</v>
      </c>
      <c r="E52" s="1562">
        <v>106.631</v>
      </c>
      <c r="F52" s="1485">
        <v>106.631</v>
      </c>
      <c r="N52" s="1061"/>
    </row>
    <row r="53" spans="1:14" s="1057" customFormat="1">
      <c r="A53" s="1203"/>
      <c r="B53" s="1480">
        <f>margins!BV43</f>
        <v>5.375</v>
      </c>
      <c r="C53" s="1483">
        <v>106.64999999999999</v>
      </c>
      <c r="D53" s="1481">
        <v>106.64999999999999</v>
      </c>
      <c r="E53" s="1562">
        <v>106.64999999999999</v>
      </c>
      <c r="F53" s="1485">
        <v>106.64999999999999</v>
      </c>
      <c r="N53" s="1061"/>
    </row>
    <row r="54" spans="1:14" s="1057" customFormat="1">
      <c r="A54" s="1203"/>
      <c r="B54" s="1480">
        <f>margins!BV44</f>
        <v>5.5</v>
      </c>
      <c r="C54" s="1483">
        <v>106.669</v>
      </c>
      <c r="D54" s="1481">
        <v>106.669</v>
      </c>
      <c r="E54" s="1562">
        <v>106.669</v>
      </c>
      <c r="F54" s="1485">
        <v>106.669</v>
      </c>
      <c r="N54" s="1061"/>
    </row>
    <row r="55" spans="1:14" s="1057" customFormat="1">
      <c r="A55" s="1203"/>
      <c r="B55" s="1480">
        <f>margins!BV45</f>
        <v>5.625</v>
      </c>
      <c r="C55" s="1483">
        <v>106.68799999999999</v>
      </c>
      <c r="D55" s="1481">
        <v>106.68799999999999</v>
      </c>
      <c r="E55" s="1562">
        <v>106.68799999999999</v>
      </c>
      <c r="F55" s="1485">
        <v>106.68799999999999</v>
      </c>
      <c r="N55" s="1061"/>
    </row>
    <row r="56" spans="1:14" s="1057" customFormat="1">
      <c r="A56" s="1203"/>
      <c r="B56" s="1480">
        <f>margins!BV46</f>
        <v>5.75</v>
      </c>
      <c r="C56" s="1483">
        <v>106.70599999999999</v>
      </c>
      <c r="D56" s="1481">
        <v>106.70599999999999</v>
      </c>
      <c r="E56" s="1562">
        <v>106.70599999999999</v>
      </c>
      <c r="F56" s="1485">
        <v>106.70599999999999</v>
      </c>
      <c r="N56" s="1061"/>
    </row>
    <row r="57" spans="1:14" s="1057" customFormat="1">
      <c r="A57" s="1203"/>
      <c r="B57" s="1480">
        <f>margins!BV47</f>
        <v>5.875</v>
      </c>
      <c r="C57" s="1483">
        <v>106.72499999999999</v>
      </c>
      <c r="D57" s="1481">
        <v>106.72499999999999</v>
      </c>
      <c r="E57" s="1562">
        <v>106.72499999999999</v>
      </c>
      <c r="F57" s="1485">
        <v>106.72499999999999</v>
      </c>
      <c r="N57" s="1061"/>
    </row>
    <row r="58" spans="1:14" s="1057" customFormat="1">
      <c r="A58" s="1203"/>
      <c r="B58" s="1480">
        <f>margins!BV48</f>
        <v>6</v>
      </c>
      <c r="C58" s="1483">
        <v>106.744</v>
      </c>
      <c r="D58" s="1481">
        <v>106.744</v>
      </c>
      <c r="E58" s="1562">
        <v>106.744</v>
      </c>
      <c r="F58" s="1485">
        <v>106.744</v>
      </c>
      <c r="N58" s="1061"/>
    </row>
    <row r="59" spans="1:14" s="1057" customFormat="1">
      <c r="A59" s="1203"/>
      <c r="B59" s="1480">
        <f>margins!BV49</f>
        <v>6.125</v>
      </c>
      <c r="C59" s="1483">
        <v>106.76299999999999</v>
      </c>
      <c r="D59" s="1481">
        <v>106.76299999999999</v>
      </c>
      <c r="E59" s="1562">
        <v>106.76299999999999</v>
      </c>
      <c r="F59" s="1485">
        <v>106.76299999999999</v>
      </c>
      <c r="N59" s="1061"/>
    </row>
    <row r="60" spans="1:14" s="1057" customFormat="1" ht="15.75" thickBot="1">
      <c r="A60" s="1203"/>
      <c r="B60" s="1490">
        <f>margins!BV50</f>
        <v>6.25</v>
      </c>
      <c r="C60" s="1491">
        <v>106.78099999999999</v>
      </c>
      <c r="D60" s="1523">
        <v>106.78099999999999</v>
      </c>
      <c r="E60" s="1563">
        <v>106.78099999999999</v>
      </c>
      <c r="F60" s="1492">
        <v>106.78099999999999</v>
      </c>
      <c r="N60" s="1061"/>
    </row>
    <row r="61" spans="1:14" s="1057" customFormat="1">
      <c r="A61" s="1203"/>
      <c r="B61" s="1235"/>
      <c r="C61" s="1234"/>
      <c r="D61" s="1336"/>
      <c r="N61" s="1061"/>
    </row>
    <row r="62" spans="1:14" s="1057" customFormat="1" ht="15.75" thickBot="1">
      <c r="A62" s="1203"/>
      <c r="G62" s="1202"/>
      <c r="H62" s="1201"/>
      <c r="N62" s="1061"/>
    </row>
    <row r="63" spans="1:14" s="1057" customFormat="1" ht="15.75" thickBot="1">
      <c r="A63" s="1203"/>
      <c r="B63" s="1202" t="s">
        <v>244</v>
      </c>
      <c r="D63" s="1204"/>
      <c r="E63" s="1743" t="s">
        <v>329</v>
      </c>
      <c r="F63" s="1744"/>
      <c r="G63" s="1744"/>
      <c r="H63" s="1744"/>
      <c r="I63" s="1744"/>
      <c r="J63" s="1744"/>
      <c r="K63" s="1744"/>
      <c r="L63" s="1744"/>
      <c r="M63" s="1745"/>
      <c r="N63" s="1061"/>
    </row>
    <row r="64" spans="1:14" s="1057" customFormat="1" ht="15.75" thickBot="1">
      <c r="A64" s="1203"/>
      <c r="B64" s="1441"/>
      <c r="C64" s="1524"/>
      <c r="D64" s="1488" t="s">
        <v>203</v>
      </c>
      <c r="E64" s="1319" t="s">
        <v>15</v>
      </c>
      <c r="F64" s="1317" t="s">
        <v>16</v>
      </c>
      <c r="G64" s="1317" t="s">
        <v>17</v>
      </c>
      <c r="H64" s="1317" t="s">
        <v>18</v>
      </c>
      <c r="I64" s="1317" t="s">
        <v>19</v>
      </c>
      <c r="J64" s="1317" t="s">
        <v>20</v>
      </c>
      <c r="K64" s="1317" t="s">
        <v>21</v>
      </c>
      <c r="L64" s="1317" t="s">
        <v>22</v>
      </c>
      <c r="M64" s="1318" t="s">
        <v>23</v>
      </c>
      <c r="N64" s="1061"/>
    </row>
    <row r="65" spans="1:14" s="1057" customFormat="1">
      <c r="A65" s="1203"/>
      <c r="B65" s="1746" t="s">
        <v>525</v>
      </c>
      <c r="C65" s="1717" t="s">
        <v>37</v>
      </c>
      <c r="D65" s="1718"/>
      <c r="E65" s="1213">
        <v>2.5</v>
      </c>
      <c r="F65" s="1212">
        <v>2.5</v>
      </c>
      <c r="G65" s="1212">
        <v>2</v>
      </c>
      <c r="H65" s="1212">
        <v>2</v>
      </c>
      <c r="I65" s="1212">
        <v>1.5</v>
      </c>
      <c r="J65" s="1212">
        <v>0.5</v>
      </c>
      <c r="K65" s="1212">
        <v>0</v>
      </c>
      <c r="L65" s="1212">
        <v>-3.5</v>
      </c>
      <c r="M65" s="1211">
        <v>-4.5</v>
      </c>
      <c r="N65" s="1061"/>
    </row>
    <row r="66" spans="1:14" s="1057" customFormat="1">
      <c r="A66" s="1203"/>
      <c r="B66" s="1747"/>
      <c r="C66" s="1714" t="s">
        <v>36</v>
      </c>
      <c r="D66" s="1715"/>
      <c r="E66" s="1275">
        <v>1.5</v>
      </c>
      <c r="F66" s="1274">
        <v>1.5</v>
      </c>
      <c r="G66" s="1274">
        <v>1.5</v>
      </c>
      <c r="H66" s="1274">
        <v>1.5</v>
      </c>
      <c r="I66" s="1274">
        <v>1</v>
      </c>
      <c r="J66" s="1274">
        <v>0</v>
      </c>
      <c r="K66" s="1274">
        <v>-1</v>
      </c>
      <c r="L66" s="1274">
        <v>-5</v>
      </c>
      <c r="M66" s="1273">
        <v>-6</v>
      </c>
      <c r="N66" s="1061"/>
    </row>
    <row r="67" spans="1:14" s="1057" customFormat="1">
      <c r="A67" s="1203"/>
      <c r="B67" s="1747"/>
      <c r="C67" s="1714" t="s">
        <v>24</v>
      </c>
      <c r="D67" s="1715"/>
      <c r="E67" s="1275">
        <v>1</v>
      </c>
      <c r="F67" s="1274">
        <v>1</v>
      </c>
      <c r="G67" s="1274">
        <v>1</v>
      </c>
      <c r="H67" s="1274">
        <v>1</v>
      </c>
      <c r="I67" s="1274">
        <v>0</v>
      </c>
      <c r="J67" s="1274">
        <v>0</v>
      </c>
      <c r="K67" s="1274">
        <v>-2</v>
      </c>
      <c r="L67" s="1274">
        <v>-6</v>
      </c>
      <c r="M67" s="1273">
        <v>-8</v>
      </c>
      <c r="N67" s="1061"/>
    </row>
    <row r="68" spans="1:14" s="1057" customFormat="1">
      <c r="A68" s="1203"/>
      <c r="B68" s="1747"/>
      <c r="C68" s="1714" t="s">
        <v>25</v>
      </c>
      <c r="D68" s="1715"/>
      <c r="E68" s="1275">
        <v>0</v>
      </c>
      <c r="F68" s="1274">
        <v>0</v>
      </c>
      <c r="G68" s="1274">
        <v>0</v>
      </c>
      <c r="H68" s="1274">
        <v>0</v>
      </c>
      <c r="I68" s="1274">
        <v>0</v>
      </c>
      <c r="J68" s="1274">
        <v>-1</v>
      </c>
      <c r="K68" s="1274">
        <v>-3</v>
      </c>
      <c r="L68" s="1274">
        <v>-7.5</v>
      </c>
      <c r="M68" s="1273" t="s">
        <v>14</v>
      </c>
      <c r="N68" s="1061"/>
    </row>
    <row r="69" spans="1:14" s="1057" customFormat="1">
      <c r="A69" s="1203"/>
      <c r="B69" s="1747"/>
      <c r="C69" s="1714" t="s">
        <v>26</v>
      </c>
      <c r="D69" s="1715"/>
      <c r="E69" s="1275">
        <v>-0.5</v>
      </c>
      <c r="F69" s="1274">
        <v>-0.5</v>
      </c>
      <c r="G69" s="1274">
        <v>-0.5</v>
      </c>
      <c r="H69" s="1274">
        <v>-1</v>
      </c>
      <c r="I69" s="1274">
        <v>-1.5</v>
      </c>
      <c r="J69" s="1274">
        <v>-2</v>
      </c>
      <c r="K69" s="1274">
        <v>-5.5</v>
      </c>
      <c r="L69" s="1274">
        <v>-8.5</v>
      </c>
      <c r="M69" s="1273" t="s">
        <v>14</v>
      </c>
      <c r="N69" s="1061"/>
    </row>
    <row r="70" spans="1:14" s="1057" customFormat="1" ht="15.75" thickBot="1">
      <c r="A70" s="1203"/>
      <c r="B70" s="1748"/>
      <c r="C70" s="1711" t="s">
        <v>27</v>
      </c>
      <c r="D70" s="1712"/>
      <c r="E70" s="1209">
        <v>-0.75</v>
      </c>
      <c r="F70" s="1208">
        <v>-0.75</v>
      </c>
      <c r="G70" s="1208">
        <v>-1</v>
      </c>
      <c r="H70" s="1208">
        <v>-1.5</v>
      </c>
      <c r="I70" s="1208">
        <v>-2</v>
      </c>
      <c r="J70" s="1208">
        <v>-3</v>
      </c>
      <c r="K70" s="1208" t="s">
        <v>14</v>
      </c>
      <c r="L70" s="1208" t="s">
        <v>14</v>
      </c>
      <c r="M70" s="1207" t="s">
        <v>14</v>
      </c>
      <c r="N70" s="1061"/>
    </row>
    <row r="71" spans="1:14" s="1057" customFormat="1" ht="15.75" thickBot="1">
      <c r="A71" s="1203"/>
      <c r="B71" s="1708" t="s">
        <v>777</v>
      </c>
      <c r="C71" s="2057"/>
      <c r="D71" s="1853"/>
      <c r="E71" s="1463">
        <v>0</v>
      </c>
      <c r="F71" s="1279">
        <v>0</v>
      </c>
      <c r="G71" s="1279">
        <v>0</v>
      </c>
      <c r="H71" s="1279">
        <v>0</v>
      </c>
      <c r="I71" s="1279">
        <v>0</v>
      </c>
      <c r="J71" s="1279">
        <v>0</v>
      </c>
      <c r="K71" s="1279">
        <v>0</v>
      </c>
      <c r="L71" s="1279">
        <v>0</v>
      </c>
      <c r="M71" s="1434">
        <v>0</v>
      </c>
      <c r="N71" s="1061"/>
    </row>
    <row r="72" spans="1:14" s="1057" customFormat="1">
      <c r="A72" s="1203"/>
      <c r="B72" s="1788" t="s">
        <v>548</v>
      </c>
      <c r="C72" s="1717" t="s">
        <v>37</v>
      </c>
      <c r="D72" s="1719"/>
      <c r="E72" s="1213">
        <v>2</v>
      </c>
      <c r="F72" s="1212">
        <v>2</v>
      </c>
      <c r="G72" s="1212">
        <v>1.5</v>
      </c>
      <c r="H72" s="1212">
        <v>1.5</v>
      </c>
      <c r="I72" s="1212">
        <v>1</v>
      </c>
      <c r="J72" s="1212">
        <v>0</v>
      </c>
      <c r="K72" s="1212">
        <v>-0.5</v>
      </c>
      <c r="L72" s="1212" t="s">
        <v>14</v>
      </c>
      <c r="M72" s="1211" t="s">
        <v>14</v>
      </c>
      <c r="N72" s="1061"/>
    </row>
    <row r="73" spans="1:14" s="1057" customFormat="1">
      <c r="A73" s="1203"/>
      <c r="B73" s="1749"/>
      <c r="C73" s="1714" t="s">
        <v>36</v>
      </c>
      <c r="D73" s="1716"/>
      <c r="E73" s="1275">
        <v>1</v>
      </c>
      <c r="F73" s="1274">
        <v>1</v>
      </c>
      <c r="G73" s="1274">
        <v>1</v>
      </c>
      <c r="H73" s="1274">
        <v>1</v>
      </c>
      <c r="I73" s="1274">
        <v>0.5</v>
      </c>
      <c r="J73" s="1274">
        <v>-0.5</v>
      </c>
      <c r="K73" s="1274">
        <v>-1.5</v>
      </c>
      <c r="L73" s="1274" t="s">
        <v>14</v>
      </c>
      <c r="M73" s="1273" t="s">
        <v>14</v>
      </c>
      <c r="N73" s="1061"/>
    </row>
    <row r="74" spans="1:14" s="1057" customFormat="1">
      <c r="A74" s="1203"/>
      <c r="B74" s="1749"/>
      <c r="C74" s="1714" t="s">
        <v>24</v>
      </c>
      <c r="D74" s="1716"/>
      <c r="E74" s="1275">
        <v>0.5</v>
      </c>
      <c r="F74" s="1274">
        <v>0.5</v>
      </c>
      <c r="G74" s="1274">
        <v>0.5</v>
      </c>
      <c r="H74" s="1274">
        <v>0.5</v>
      </c>
      <c r="I74" s="1274">
        <v>-0.5</v>
      </c>
      <c r="J74" s="1274">
        <v>-0.5</v>
      </c>
      <c r="K74" s="1274">
        <v>-2.5</v>
      </c>
      <c r="L74" s="1274" t="s">
        <v>14</v>
      </c>
      <c r="M74" s="1273" t="s">
        <v>14</v>
      </c>
      <c r="N74" s="1061"/>
    </row>
    <row r="75" spans="1:14" s="1057" customFormat="1">
      <c r="A75" s="1203"/>
      <c r="B75" s="1749"/>
      <c r="C75" s="1714" t="s">
        <v>25</v>
      </c>
      <c r="D75" s="1716"/>
      <c r="E75" s="1275">
        <v>-0.5</v>
      </c>
      <c r="F75" s="1274">
        <v>-0.5</v>
      </c>
      <c r="G75" s="1274">
        <v>-0.5</v>
      </c>
      <c r="H75" s="1274">
        <v>-0.5</v>
      </c>
      <c r="I75" s="1274">
        <v>-0.5</v>
      </c>
      <c r="J75" s="1274">
        <v>-1.5</v>
      </c>
      <c r="K75" s="1274" t="s">
        <v>14</v>
      </c>
      <c r="L75" s="1274" t="s">
        <v>14</v>
      </c>
      <c r="M75" s="1273" t="s">
        <v>14</v>
      </c>
      <c r="N75" s="1061"/>
    </row>
    <row r="76" spans="1:14" s="1057" customFormat="1">
      <c r="A76" s="1203"/>
      <c r="B76" s="1749"/>
      <c r="C76" s="1714" t="s">
        <v>26</v>
      </c>
      <c r="D76" s="1716"/>
      <c r="E76" s="1275">
        <v>-1</v>
      </c>
      <c r="F76" s="1274">
        <v>-1</v>
      </c>
      <c r="G76" s="1274">
        <v>-1</v>
      </c>
      <c r="H76" s="1274">
        <v>-1.5</v>
      </c>
      <c r="I76" s="1274">
        <v>-2</v>
      </c>
      <c r="J76" s="1274">
        <v>-2.5</v>
      </c>
      <c r="K76" s="1274" t="s">
        <v>14</v>
      </c>
      <c r="L76" s="1274" t="s">
        <v>14</v>
      </c>
      <c r="M76" s="1273" t="s">
        <v>14</v>
      </c>
      <c r="N76" s="1061"/>
    </row>
    <row r="77" spans="1:14" s="1057" customFormat="1" ht="15.75" thickBot="1">
      <c r="A77" s="1203"/>
      <c r="B77" s="1789"/>
      <c r="C77" s="1711" t="s">
        <v>27</v>
      </c>
      <c r="D77" s="1713"/>
      <c r="E77" s="1209" t="s">
        <v>14</v>
      </c>
      <c r="F77" s="1208" t="s">
        <v>14</v>
      </c>
      <c r="G77" s="1208" t="s">
        <v>14</v>
      </c>
      <c r="H77" s="1208" t="s">
        <v>14</v>
      </c>
      <c r="I77" s="1208" t="s">
        <v>14</v>
      </c>
      <c r="J77" s="1208" t="s">
        <v>14</v>
      </c>
      <c r="K77" s="1208" t="s">
        <v>14</v>
      </c>
      <c r="L77" s="1208" t="s">
        <v>14</v>
      </c>
      <c r="M77" s="1207" t="s">
        <v>14</v>
      </c>
      <c r="N77" s="1061"/>
    </row>
    <row r="78" spans="1:14" s="1057" customFormat="1" ht="15.75" thickBot="1">
      <c r="A78" s="1203"/>
      <c r="B78" s="1708" t="s">
        <v>778</v>
      </c>
      <c r="C78" s="2057"/>
      <c r="D78" s="1853"/>
      <c r="E78" s="1463">
        <v>-1</v>
      </c>
      <c r="F78" s="1279">
        <v>-1</v>
      </c>
      <c r="G78" s="1279">
        <v>-1</v>
      </c>
      <c r="H78" s="1279">
        <v>-1</v>
      </c>
      <c r="I78" s="1279">
        <v>-1</v>
      </c>
      <c r="J78" s="1279">
        <v>-1</v>
      </c>
      <c r="K78" s="1279">
        <v>-1</v>
      </c>
      <c r="L78" s="1279" t="s">
        <v>14</v>
      </c>
      <c r="M78" s="1434" t="s">
        <v>14</v>
      </c>
      <c r="N78" s="1061"/>
    </row>
    <row r="79" spans="1:14" s="1057" customFormat="1">
      <c r="A79" s="1203"/>
      <c r="B79" s="1746" t="s">
        <v>531</v>
      </c>
      <c r="C79" s="1720">
        <v>24</v>
      </c>
      <c r="D79" s="1722"/>
      <c r="E79" s="1213">
        <v>2</v>
      </c>
      <c r="F79" s="1212">
        <v>2</v>
      </c>
      <c r="G79" s="1212">
        <v>2</v>
      </c>
      <c r="H79" s="1212">
        <v>2</v>
      </c>
      <c r="I79" s="1212">
        <v>2</v>
      </c>
      <c r="J79" s="1212">
        <v>2</v>
      </c>
      <c r="K79" s="1212">
        <v>2</v>
      </c>
      <c r="L79" s="1212">
        <v>0</v>
      </c>
      <c r="M79" s="1211">
        <v>0</v>
      </c>
      <c r="N79" s="1061"/>
    </row>
    <row r="80" spans="1:14" s="1057" customFormat="1">
      <c r="A80" s="1203"/>
      <c r="B80" s="1747"/>
      <c r="C80" s="1791">
        <v>36</v>
      </c>
      <c r="D80" s="1853"/>
      <c r="E80" s="1275">
        <v>1.5</v>
      </c>
      <c r="F80" s="1274">
        <v>1.5</v>
      </c>
      <c r="G80" s="1274">
        <v>1.5</v>
      </c>
      <c r="H80" s="1274">
        <v>1.5</v>
      </c>
      <c r="I80" s="1274">
        <v>1.5</v>
      </c>
      <c r="J80" s="1274">
        <v>1.5</v>
      </c>
      <c r="K80" s="1274">
        <v>1.5</v>
      </c>
      <c r="L80" s="1274">
        <v>0</v>
      </c>
      <c r="M80" s="1273">
        <v>0</v>
      </c>
      <c r="N80" s="1061"/>
    </row>
    <row r="81" spans="1:14" s="1057" customFormat="1" ht="15.75" thickBot="1">
      <c r="A81" s="1203"/>
      <c r="B81" s="1748"/>
      <c r="C81" s="1737">
        <v>60</v>
      </c>
      <c r="D81" s="1739"/>
      <c r="E81" s="1209">
        <v>0</v>
      </c>
      <c r="F81" s="1208">
        <v>0</v>
      </c>
      <c r="G81" s="1208">
        <v>0</v>
      </c>
      <c r="H81" s="1208">
        <v>0</v>
      </c>
      <c r="I81" s="1208">
        <v>0</v>
      </c>
      <c r="J81" s="1208">
        <v>0</v>
      </c>
      <c r="K81" s="1208">
        <v>0</v>
      </c>
      <c r="L81" s="1208">
        <v>0</v>
      </c>
      <c r="M81" s="1207">
        <v>0</v>
      </c>
      <c r="N81" s="1061"/>
    </row>
    <row r="82" spans="1:14" s="1057" customFormat="1">
      <c r="A82" s="1203"/>
      <c r="B82" s="1746" t="s">
        <v>45</v>
      </c>
      <c r="C82" s="2057" t="s">
        <v>407</v>
      </c>
      <c r="D82" s="2057"/>
      <c r="E82" s="1275">
        <v>0</v>
      </c>
      <c r="F82" s="1274">
        <v>0</v>
      </c>
      <c r="G82" s="1274">
        <v>0</v>
      </c>
      <c r="H82" s="1274">
        <v>0</v>
      </c>
      <c r="I82" s="1274">
        <v>0</v>
      </c>
      <c r="J82" s="1274">
        <v>0</v>
      </c>
      <c r="K82" s="1274">
        <v>0</v>
      </c>
      <c r="L82" s="1274">
        <v>0</v>
      </c>
      <c r="M82" s="1273">
        <v>0</v>
      </c>
      <c r="N82" s="1061"/>
    </row>
    <row r="83" spans="1:14" s="1057" customFormat="1">
      <c r="A83" s="1203"/>
      <c r="B83" s="1747"/>
      <c r="C83" s="2057" t="s">
        <v>408</v>
      </c>
      <c r="D83" s="2057"/>
      <c r="E83" s="1275">
        <v>0</v>
      </c>
      <c r="F83" s="1274">
        <v>0</v>
      </c>
      <c r="G83" s="1274">
        <v>0</v>
      </c>
      <c r="H83" s="1274">
        <v>-0.125</v>
      </c>
      <c r="I83" s="1274">
        <v>-0.125</v>
      </c>
      <c r="J83" s="1274">
        <v>-0.125</v>
      </c>
      <c r="K83" s="1274">
        <v>-0.125</v>
      </c>
      <c r="L83" s="1274">
        <v>-0.125</v>
      </c>
      <c r="M83" s="1273">
        <v>-0.125</v>
      </c>
      <c r="N83" s="1061"/>
    </row>
    <row r="84" spans="1:14" s="1057" customFormat="1" ht="15" customHeight="1" thickBot="1">
      <c r="A84" s="1203"/>
      <c r="B84" s="1748"/>
      <c r="C84" s="2057" t="s">
        <v>409</v>
      </c>
      <c r="D84" s="1853"/>
      <c r="E84" s="1463">
        <v>0</v>
      </c>
      <c r="F84" s="1279">
        <v>0</v>
      </c>
      <c r="G84" s="1279">
        <v>0</v>
      </c>
      <c r="H84" s="1279">
        <v>-0.125</v>
      </c>
      <c r="I84" s="1279">
        <v>-0.125</v>
      </c>
      <c r="J84" s="1279">
        <v>-0.25</v>
      </c>
      <c r="K84" s="1279">
        <v>-0.25</v>
      </c>
      <c r="L84" s="1279" t="s">
        <v>14</v>
      </c>
      <c r="M84" s="1434" t="s">
        <v>14</v>
      </c>
      <c r="N84" s="1434"/>
    </row>
    <row r="85" spans="1:14" s="1057" customFormat="1">
      <c r="A85" s="1203"/>
      <c r="B85" s="1788" t="s">
        <v>47</v>
      </c>
      <c r="C85" s="1717" t="s">
        <v>411</v>
      </c>
      <c r="D85" s="1719"/>
      <c r="E85" s="1213">
        <v>-0.125</v>
      </c>
      <c r="F85" s="1212">
        <v>-0.125</v>
      </c>
      <c r="G85" s="1212">
        <v>-0.125</v>
      </c>
      <c r="H85" s="1212">
        <v>-0.125</v>
      </c>
      <c r="I85" s="1212">
        <v>-0.125</v>
      </c>
      <c r="J85" s="1212">
        <v>-0.125</v>
      </c>
      <c r="K85" s="1212">
        <v>-0.125</v>
      </c>
      <c r="L85" s="1212">
        <v>-0.125</v>
      </c>
      <c r="M85" s="1211">
        <v>-0.125</v>
      </c>
      <c r="N85" s="1434"/>
    </row>
    <row r="86" spans="1:14" s="1057" customFormat="1">
      <c r="A86" s="1203"/>
      <c r="B86" s="1749"/>
      <c r="C86" s="1714" t="s">
        <v>526</v>
      </c>
      <c r="D86" s="1716"/>
      <c r="E86" s="1275">
        <v>0</v>
      </c>
      <c r="F86" s="1274">
        <v>0</v>
      </c>
      <c r="G86" s="1274">
        <v>0</v>
      </c>
      <c r="H86" s="1274">
        <v>0</v>
      </c>
      <c r="I86" s="1274">
        <v>0</v>
      </c>
      <c r="J86" s="1274">
        <v>0</v>
      </c>
      <c r="K86" s="1274">
        <v>0</v>
      </c>
      <c r="L86" s="1274">
        <v>0</v>
      </c>
      <c r="M86" s="1273">
        <v>0</v>
      </c>
      <c r="N86" s="1434"/>
    </row>
    <row r="87" spans="1:14" s="1057" customFormat="1">
      <c r="A87" s="1203"/>
      <c r="B87" s="1749"/>
      <c r="C87" s="1714" t="s">
        <v>527</v>
      </c>
      <c r="D87" s="1716"/>
      <c r="E87" s="1275">
        <v>0</v>
      </c>
      <c r="F87" s="1274">
        <v>0</v>
      </c>
      <c r="G87" s="1274">
        <v>0</v>
      </c>
      <c r="H87" s="1274">
        <v>0</v>
      </c>
      <c r="I87" s="1274">
        <v>0</v>
      </c>
      <c r="J87" s="1274">
        <v>0</v>
      </c>
      <c r="K87" s="1274">
        <v>0</v>
      </c>
      <c r="L87" s="1274">
        <v>0</v>
      </c>
      <c r="M87" s="1273" t="s">
        <v>14</v>
      </c>
      <c r="N87" s="1434"/>
    </row>
    <row r="88" spans="1:14" s="1057" customFormat="1" ht="15" customHeight="1" thickBot="1">
      <c r="A88" s="1203"/>
      <c r="B88" s="1789"/>
      <c r="C88" s="1711" t="s">
        <v>415</v>
      </c>
      <c r="D88" s="1713"/>
      <c r="E88" s="1209">
        <v>0</v>
      </c>
      <c r="F88" s="1208">
        <v>0</v>
      </c>
      <c r="G88" s="1208">
        <v>0</v>
      </c>
      <c r="H88" s="1208">
        <v>0</v>
      </c>
      <c r="I88" s="1208">
        <v>0</v>
      </c>
      <c r="J88" s="1208">
        <v>0</v>
      </c>
      <c r="K88" s="1208" t="s">
        <v>14</v>
      </c>
      <c r="L88" s="1208" t="s">
        <v>14</v>
      </c>
      <c r="M88" s="1207" t="s">
        <v>14</v>
      </c>
      <c r="N88" s="1434"/>
    </row>
    <row r="89" spans="1:14" s="1057" customFormat="1">
      <c r="A89" s="1203"/>
      <c r="B89" s="1746" t="s">
        <v>60</v>
      </c>
      <c r="C89" s="1791" t="s">
        <v>29</v>
      </c>
      <c r="D89" s="1853"/>
      <c r="E89" s="1275">
        <v>-1</v>
      </c>
      <c r="F89" s="1274">
        <v>-1</v>
      </c>
      <c r="G89" s="1274">
        <v>-1</v>
      </c>
      <c r="H89" s="1274">
        <v>-1</v>
      </c>
      <c r="I89" s="1274">
        <v>-1</v>
      </c>
      <c r="J89" s="1274">
        <v>-1</v>
      </c>
      <c r="K89" s="1274" t="s">
        <v>14</v>
      </c>
      <c r="L89" s="1274" t="s">
        <v>14</v>
      </c>
      <c r="M89" s="1273" t="s">
        <v>14</v>
      </c>
      <c r="N89" s="1434"/>
    </row>
    <row r="90" spans="1:14" s="1057" customFormat="1" ht="15.75" thickBot="1">
      <c r="A90" s="1203"/>
      <c r="B90" s="1748"/>
      <c r="C90" s="1791" t="s">
        <v>61</v>
      </c>
      <c r="D90" s="1853"/>
      <c r="E90" s="1463">
        <v>-2</v>
      </c>
      <c r="F90" s="1279">
        <v>-2</v>
      </c>
      <c r="G90" s="1279">
        <v>-2.5</v>
      </c>
      <c r="H90" s="1279">
        <v>-3</v>
      </c>
      <c r="I90" s="1279">
        <v>-3.5</v>
      </c>
      <c r="J90" s="1279" t="s">
        <v>14</v>
      </c>
      <c r="K90" s="1279" t="s">
        <v>14</v>
      </c>
      <c r="L90" s="1279" t="s">
        <v>14</v>
      </c>
      <c r="M90" s="1434" t="s">
        <v>14</v>
      </c>
      <c r="N90" s="1434"/>
    </row>
    <row r="91" spans="1:14" s="1057" customFormat="1">
      <c r="A91" s="1203"/>
      <c r="B91" s="1788" t="s">
        <v>62</v>
      </c>
      <c r="C91" s="1717" t="s">
        <v>291</v>
      </c>
      <c r="D91" s="1719"/>
      <c r="E91" s="1213">
        <v>0</v>
      </c>
      <c r="F91" s="1212">
        <v>0</v>
      </c>
      <c r="G91" s="1212">
        <v>0</v>
      </c>
      <c r="H91" s="1212">
        <v>-0.125</v>
      </c>
      <c r="I91" s="1212">
        <v>-0.125</v>
      </c>
      <c r="J91" s="1212">
        <v>-0.25</v>
      </c>
      <c r="K91" s="1212">
        <v>-0.25</v>
      </c>
      <c r="L91" s="1212" t="s">
        <v>14</v>
      </c>
      <c r="M91" s="1211" t="s">
        <v>14</v>
      </c>
      <c r="N91" s="1434"/>
    </row>
    <row r="92" spans="1:14" s="1057" customFormat="1" ht="15.75" thickBot="1">
      <c r="A92" s="1203"/>
      <c r="B92" s="1789"/>
      <c r="C92" s="1711" t="s">
        <v>381</v>
      </c>
      <c r="D92" s="1713"/>
      <c r="E92" s="1209">
        <v>-0.5</v>
      </c>
      <c r="F92" s="1208">
        <v>-0.5</v>
      </c>
      <c r="G92" s="1208">
        <v>-0.5</v>
      </c>
      <c r="H92" s="1208">
        <v>-0.5</v>
      </c>
      <c r="I92" s="1208">
        <v>-0.5</v>
      </c>
      <c r="J92" s="1208">
        <v>-0.5</v>
      </c>
      <c r="K92" s="1208">
        <v>-0.5</v>
      </c>
      <c r="L92" s="1208" t="s">
        <v>14</v>
      </c>
      <c r="M92" s="1207" t="s">
        <v>14</v>
      </c>
      <c r="N92" s="1434"/>
    </row>
    <row r="93" spans="1:14" s="1057" customFormat="1" ht="15.75" thickBot="1">
      <c r="A93" s="1203"/>
      <c r="B93" s="1314" t="s">
        <v>138</v>
      </c>
      <c r="C93" s="1737" t="s">
        <v>139</v>
      </c>
      <c r="D93" s="1739"/>
      <c r="E93" s="1209">
        <v>0</v>
      </c>
      <c r="F93" s="1208">
        <v>0</v>
      </c>
      <c r="G93" s="1208">
        <v>0</v>
      </c>
      <c r="H93" s="1208">
        <v>-0.125</v>
      </c>
      <c r="I93" s="1208">
        <v>-0.125</v>
      </c>
      <c r="J93" s="1208">
        <v>-0.125</v>
      </c>
      <c r="K93" s="1208">
        <v>-0.125</v>
      </c>
      <c r="L93" s="1208">
        <v>-0.125</v>
      </c>
      <c r="M93" s="1207">
        <v>-0.125</v>
      </c>
      <c r="N93" s="1434"/>
    </row>
    <row r="94" spans="1:14" s="1057" customFormat="1">
      <c r="A94" s="1203"/>
      <c r="B94" s="1206"/>
      <c r="C94" s="1271"/>
      <c r="D94" s="1271"/>
      <c r="E94" s="1271"/>
      <c r="F94" s="1279"/>
      <c r="G94" s="1325"/>
      <c r="H94" s="1279"/>
      <c r="I94" s="1279"/>
      <c r="J94" s="1325"/>
      <c r="K94" s="1325"/>
      <c r="L94" s="1325"/>
      <c r="M94" s="1325"/>
      <c r="N94" s="1434"/>
    </row>
    <row r="95" spans="1:14" s="1057" customFormat="1">
      <c r="A95" s="1203"/>
      <c r="B95" s="1206" t="s">
        <v>68</v>
      </c>
      <c r="D95" s="1271"/>
      <c r="E95" s="1271"/>
      <c r="F95" s="1279"/>
      <c r="G95" s="1325"/>
      <c r="H95" s="1279"/>
      <c r="I95" s="1279"/>
      <c r="J95" s="1325"/>
      <c r="K95" s="1325"/>
      <c r="L95" s="1325"/>
      <c r="M95" s="1325"/>
      <c r="N95" s="1434"/>
    </row>
    <row r="96" spans="1:14" s="1057" customFormat="1">
      <c r="A96" s="1203"/>
      <c r="B96" s="1206"/>
      <c r="D96" s="1271"/>
      <c r="E96" s="1271"/>
      <c r="F96" s="1279"/>
      <c r="G96" s="1325"/>
      <c r="H96" s="1279"/>
      <c r="I96" s="1279"/>
      <c r="J96" s="1325"/>
      <c r="K96" s="1325"/>
      <c r="L96" s="1325"/>
      <c r="M96" s="1325"/>
      <c r="N96" s="1434"/>
    </row>
    <row r="97" spans="1:14" s="1057" customFormat="1">
      <c r="A97" s="1203"/>
      <c r="B97" s="1291" t="s">
        <v>138</v>
      </c>
      <c r="C97" s="1271"/>
      <c r="D97" s="1271"/>
      <c r="E97" s="1271"/>
      <c r="F97" s="1289"/>
      <c r="G97" s="1289"/>
      <c r="H97" s="1289"/>
      <c r="I97" s="1289"/>
      <c r="J97" s="1289"/>
      <c r="K97" s="1289"/>
      <c r="L97" s="1289"/>
      <c r="M97" s="1289"/>
      <c r="N97" s="1475"/>
    </row>
    <row r="98" spans="1:14" s="1057" customFormat="1">
      <c r="A98" s="1203"/>
      <c r="B98" s="1272"/>
      <c r="C98" s="1271"/>
      <c r="D98" s="1271"/>
      <c r="E98" s="1271"/>
      <c r="F98" s="1271"/>
      <c r="G98" s="1271"/>
      <c r="H98" s="1271"/>
      <c r="I98" s="1271"/>
      <c r="J98" s="1271"/>
      <c r="K98" s="1271"/>
      <c r="L98" s="1271"/>
      <c r="M98" s="1271"/>
      <c r="N98" s="1476"/>
    </row>
    <row r="99" spans="1:14" s="1057" customFormat="1">
      <c r="A99" s="1203"/>
      <c r="N99" s="1061"/>
    </row>
    <row r="100" spans="1:14" s="1057" customFormat="1">
      <c r="A100" s="1203"/>
      <c r="N100" s="1061"/>
    </row>
    <row r="101" spans="1:14" s="1057" customFormat="1">
      <c r="A101" s="1203"/>
      <c r="N101" s="1061"/>
    </row>
    <row r="102" spans="1:14" s="1057" customFormat="1">
      <c r="A102" s="1203"/>
      <c r="N102" s="1061"/>
    </row>
    <row r="103" spans="1:14" s="1057" customFormat="1">
      <c r="A103" s="1203"/>
      <c r="N103" s="1061"/>
    </row>
    <row r="104" spans="1:14" s="1057" customFormat="1">
      <c r="A104" s="1203"/>
      <c r="N104" s="1061"/>
    </row>
    <row r="105" spans="1:14" s="1057" customFormat="1">
      <c r="A105" s="1203"/>
      <c r="N105" s="1061"/>
    </row>
    <row r="106" spans="1:14" s="1057" customFormat="1">
      <c r="A106" s="1203"/>
      <c r="N106" s="1061"/>
    </row>
    <row r="107" spans="1:14" s="1057" customFormat="1" ht="15" customHeight="1">
      <c r="A107" s="1203"/>
      <c r="N107" s="1061"/>
    </row>
    <row r="108" spans="1:14" s="1057" customFormat="1" ht="15" customHeight="1">
      <c r="A108" s="1203"/>
      <c r="N108" s="1061"/>
    </row>
    <row r="109" spans="1:14" s="1057" customFormat="1" ht="15" customHeight="1">
      <c r="A109" s="1203"/>
      <c r="N109" s="1061"/>
    </row>
    <row r="110" spans="1:14" s="1057" customFormat="1" ht="15" customHeight="1">
      <c r="A110" s="1203"/>
      <c r="N110" s="1061"/>
    </row>
    <row r="111" spans="1:14" s="1057" customFormat="1" ht="15" customHeight="1">
      <c r="A111" s="1203"/>
      <c r="N111" s="1061"/>
    </row>
    <row r="112" spans="1:14" s="1057" customFormat="1" ht="15" customHeight="1">
      <c r="A112" s="1203"/>
      <c r="N112" s="1061"/>
    </row>
    <row r="113" spans="1:14" s="1057" customFormat="1">
      <c r="A113" s="1203"/>
      <c r="N113" s="1061"/>
    </row>
    <row r="114" spans="1:14" s="1057" customFormat="1">
      <c r="A114" s="1203"/>
      <c r="N114" s="1061"/>
    </row>
    <row r="115" spans="1:14" s="1057" customFormat="1">
      <c r="A115" s="1203"/>
      <c r="N115" s="1061"/>
    </row>
    <row r="116" spans="1:14" s="1057" customFormat="1">
      <c r="A116" s="1203"/>
      <c r="N116" s="1061"/>
    </row>
    <row r="117" spans="1:14" s="1057" customFormat="1">
      <c r="A117" s="1203"/>
      <c r="G117" s="1202"/>
      <c r="H117" s="1201"/>
      <c r="N117" s="1061"/>
    </row>
    <row r="118" spans="1:14" s="1057" customFormat="1">
      <c r="A118" s="1203"/>
      <c r="G118" s="1202"/>
      <c r="H118" s="1201"/>
      <c r="N118" s="1061"/>
    </row>
    <row r="119" spans="1:14" s="1057" customFormat="1">
      <c r="A119" s="1203"/>
      <c r="G119" s="1202"/>
      <c r="H119" s="1201"/>
      <c r="N119" s="1061"/>
    </row>
    <row r="120" spans="1:14" s="1057" customFormat="1">
      <c r="A120" s="1203"/>
      <c r="G120" s="1202"/>
      <c r="H120" s="1201"/>
      <c r="N120" s="1061"/>
    </row>
    <row r="121" spans="1:14" s="1057" customFormat="1">
      <c r="A121" s="1203"/>
      <c r="G121" s="1202"/>
      <c r="H121" s="1201"/>
      <c r="N121" s="1061"/>
    </row>
    <row r="122" spans="1:14" s="1057" customFormat="1">
      <c r="A122" s="1203"/>
      <c r="N122" s="1061"/>
    </row>
    <row r="123" spans="1:14" s="1057" customFormat="1">
      <c r="A123" s="1203"/>
      <c r="N123" s="1061"/>
    </row>
    <row r="124" spans="1:14" s="1057" customFormat="1">
      <c r="A124" s="1203"/>
      <c r="N124" s="1061"/>
    </row>
    <row r="125" spans="1:14" s="1057" customFormat="1">
      <c r="A125" s="1203"/>
      <c r="N125" s="1061"/>
    </row>
    <row r="126" spans="1:14" s="1057" customFormat="1">
      <c r="A126" s="1203"/>
      <c r="N126" s="1061"/>
    </row>
    <row r="127" spans="1:14" s="1057" customFormat="1">
      <c r="A127" s="1203"/>
      <c r="N127" s="1061"/>
    </row>
    <row r="128" spans="1:14" s="1057" customFormat="1">
      <c r="A128" s="1203"/>
      <c r="N128" s="1061"/>
    </row>
    <row r="129" spans="1:14" s="1057" customFormat="1" ht="15.75" thickBot="1">
      <c r="A129" s="1270"/>
      <c r="N129" s="1061"/>
    </row>
    <row r="130" spans="1:14" s="1057" customFormat="1" ht="15" customHeight="1">
      <c r="A130" s="1066"/>
      <c r="B130" s="1816" t="s">
        <v>192</v>
      </c>
      <c r="C130" s="1816"/>
      <c r="D130" s="1816"/>
      <c r="E130" s="1816"/>
      <c r="F130" s="1816"/>
      <c r="G130" s="1816"/>
      <c r="H130" s="1816"/>
      <c r="I130" s="1816"/>
      <c r="J130" s="1816"/>
      <c r="K130" s="1816"/>
      <c r="L130" s="1816"/>
      <c r="M130" s="1816"/>
      <c r="N130" s="1849"/>
    </row>
    <row r="131" spans="1:14" s="1057" customFormat="1">
      <c r="A131" s="1063"/>
      <c r="B131" s="1817"/>
      <c r="C131" s="1817"/>
      <c r="D131" s="1817"/>
      <c r="E131" s="1817"/>
      <c r="F131" s="1817"/>
      <c r="G131" s="1817"/>
      <c r="H131" s="1817"/>
      <c r="I131" s="1817"/>
      <c r="J131" s="1817"/>
      <c r="K131" s="1817"/>
      <c r="L131" s="1817"/>
      <c r="M131" s="1817"/>
      <c r="N131" s="1850"/>
    </row>
    <row r="132" spans="1:14" s="1057" customFormat="1">
      <c r="A132" s="1063"/>
      <c r="B132" s="1817"/>
      <c r="C132" s="1817"/>
      <c r="D132" s="1817"/>
      <c r="E132" s="1817"/>
      <c r="F132" s="1817"/>
      <c r="G132" s="1817"/>
      <c r="H132" s="1817"/>
      <c r="I132" s="1817"/>
      <c r="J132" s="1817"/>
      <c r="K132" s="1817"/>
      <c r="L132" s="1817"/>
      <c r="M132" s="1817"/>
      <c r="N132" s="1850"/>
    </row>
    <row r="133" spans="1:14" s="1057" customFormat="1" ht="15.75" thickBot="1">
      <c r="A133" s="1060"/>
      <c r="B133" s="1818"/>
      <c r="C133" s="1818"/>
      <c r="D133" s="1818"/>
      <c r="E133" s="1818"/>
      <c r="F133" s="1818"/>
      <c r="G133" s="1818"/>
      <c r="H133" s="1818"/>
      <c r="I133" s="1818"/>
      <c r="J133" s="1818"/>
      <c r="K133" s="1818"/>
      <c r="L133" s="1818"/>
      <c r="M133" s="1818"/>
      <c r="N133" s="1851"/>
    </row>
  </sheetData>
  <mergeCells count="48">
    <mergeCell ref="C93:D93"/>
    <mergeCell ref="C90:D90"/>
    <mergeCell ref="C89:D89"/>
    <mergeCell ref="C87:D87"/>
    <mergeCell ref="C88:D88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4CC7AB6-1484-4534-B5D5-BBDFB0713B4E}">
          <x14:formula1>
            <xm:f>margins!$AY$144:$AY$145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margins!$AY$141:$AY$142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margins!$AY$138:$AY$139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margins!$AY$135:$AY$136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margins!$AY$124:$AY$127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margins!$AY$116:$AY$122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margins!$AY$129:$AY$133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margins!$AY$110:$AY$114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margins!$AL$133:$AL$135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margins!$AL$128:$AL$131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margins!$AL$142:$AL$144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margins!$AL$139:$AL$140</xm:f>
          </x14:formula1>
          <xm:sqref>Q27</xm:sqref>
        </x14:dataValidation>
        <x14:dataValidation type="list" allowBlank="1" showInputMessage="1" showErrorMessage="1" xr:uid="{EED5A835-077B-4DED-AE0C-1F1E3AA89C58}">
          <x14:formula1>
            <xm:f>margins!$N$165:$N$167</xm:f>
          </x14:formula1>
          <xm:sqref>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topLeftCell="A15" zoomScaleNormal="100" workbookViewId="0">
      <selection activeCell="S58" sqref="S58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7" ht="26.25">
      <c r="A2" s="40"/>
      <c r="B2" s="41"/>
      <c r="C2" s="1792" t="s">
        <v>696</v>
      </c>
      <c r="D2" s="1792"/>
      <c r="E2" s="1792"/>
      <c r="F2" s="1792"/>
      <c r="G2" s="1792"/>
      <c r="H2" s="1792"/>
      <c r="I2" s="1792"/>
      <c r="J2" s="1792"/>
      <c r="N2" s="39"/>
    </row>
    <row r="3" spans="1:17" ht="31.5" thickBot="1">
      <c r="A3" s="42"/>
      <c r="B3" s="43"/>
      <c r="C3" s="44"/>
      <c r="D3" s="45"/>
      <c r="E3" s="45"/>
      <c r="F3" s="45"/>
      <c r="G3" s="45"/>
      <c r="H3" s="45"/>
      <c r="I3" s="681">
        <f ca="1">TODAY()</f>
        <v>45978</v>
      </c>
      <c r="J3" s="681">
        <f t="shared" ref="J3" ca="1" si="0">TODAY()</f>
        <v>45978</v>
      </c>
      <c r="N3" s="39"/>
    </row>
    <row r="4" spans="1:17" ht="30.75">
      <c r="A4" s="47"/>
      <c r="B4" s="47"/>
      <c r="C4" s="47"/>
      <c r="D4" s="48"/>
      <c r="E4" s="48"/>
      <c r="F4" s="48"/>
      <c r="G4" s="48"/>
      <c r="H4" s="48"/>
      <c r="I4" s="49"/>
      <c r="J4" s="49"/>
      <c r="N4" s="39"/>
    </row>
    <row r="5" spans="1:17">
      <c r="A5" s="50"/>
      <c r="B5" s="50"/>
      <c r="C5" s="50"/>
      <c r="D5" s="50"/>
      <c r="E5" s="50"/>
      <c r="F5" s="50"/>
      <c r="G5" s="50"/>
      <c r="H5" s="50"/>
      <c r="I5" s="50"/>
      <c r="J5" s="50"/>
      <c r="N5" s="39"/>
    </row>
    <row r="6" spans="1:17" ht="15.75" thickBot="1">
      <c r="I6" s="470"/>
      <c r="K6" s="470"/>
      <c r="L6" s="470"/>
      <c r="M6" s="471"/>
      <c r="N6" s="39"/>
    </row>
    <row r="7" spans="1:17" ht="15.75" thickBot="1">
      <c r="B7" s="1793" t="s">
        <v>510</v>
      </c>
      <c r="C7" s="1794"/>
      <c r="D7" s="1795"/>
      <c r="F7" s="1796" t="s">
        <v>603</v>
      </c>
      <c r="G7" s="1796"/>
      <c r="H7" s="1641"/>
      <c r="I7" s="1641"/>
      <c r="L7" s="477" t="s">
        <v>701</v>
      </c>
      <c r="M7" s="1576"/>
      <c r="N7" s="1577">
        <v>45978.399699074071</v>
      </c>
    </row>
    <row r="8" spans="1:17" ht="15.75" thickBot="1">
      <c r="A8" s="1374" t="s">
        <v>3</v>
      </c>
      <c r="B8" s="51" t="s">
        <v>13</v>
      </c>
      <c r="C8" s="53" t="s">
        <v>102</v>
      </c>
      <c r="D8" s="53" t="s">
        <v>93</v>
      </c>
      <c r="F8" s="55" t="s">
        <v>97</v>
      </c>
      <c r="G8" s="57" t="s">
        <v>6</v>
      </c>
      <c r="J8" s="68"/>
      <c r="L8" s="471"/>
      <c r="M8" s="471"/>
      <c r="N8" s="471"/>
    </row>
    <row r="9" spans="1:17" ht="15.75" thickBot="1">
      <c r="A9" s="1375">
        <f>margins!J5</f>
        <v>6</v>
      </c>
      <c r="B9" s="929">
        <v>94.38300000000001</v>
      </c>
      <c r="C9" s="929">
        <v>94.283000000000001</v>
      </c>
      <c r="D9" s="930">
        <v>94.283000000000001</v>
      </c>
      <c r="E9" s="75" t="s">
        <v>195</v>
      </c>
      <c r="F9" s="59" t="s">
        <v>99</v>
      </c>
      <c r="G9" s="61">
        <v>102</v>
      </c>
      <c r="J9" s="68"/>
      <c r="L9" s="494" t="s">
        <v>207</v>
      </c>
      <c r="M9" s="495" t="s">
        <v>208</v>
      </c>
      <c r="N9" s="495" t="s">
        <v>209</v>
      </c>
      <c r="O9" s="68"/>
      <c r="P9" s="68"/>
      <c r="Q9" s="68"/>
    </row>
    <row r="10" spans="1:17" ht="15.75" thickBot="1">
      <c r="A10" s="1376">
        <f>margins!J6</f>
        <v>6.125</v>
      </c>
      <c r="B10" s="496">
        <v>95.25800000000001</v>
      </c>
      <c r="C10" s="496">
        <v>95.158000000000001</v>
      </c>
      <c r="D10" s="926">
        <v>95.158000000000001</v>
      </c>
      <c r="E10" s="75" t="s">
        <v>196</v>
      </c>
      <c r="F10" s="59" t="s">
        <v>100</v>
      </c>
      <c r="G10" s="61">
        <v>102</v>
      </c>
      <c r="J10" s="68"/>
      <c r="L10" s="471"/>
      <c r="M10" s="471"/>
      <c r="N10" s="471"/>
      <c r="P10" s="68"/>
      <c r="Q10" s="68"/>
    </row>
    <row r="11" spans="1:17">
      <c r="A11" s="1376">
        <f>margins!J7</f>
        <v>6.25</v>
      </c>
      <c r="B11" s="496">
        <v>96.13300000000001</v>
      </c>
      <c r="C11" s="496">
        <v>96.033000000000001</v>
      </c>
      <c r="D11" s="926">
        <v>96.033000000000001</v>
      </c>
      <c r="E11" s="75" t="s">
        <v>197</v>
      </c>
      <c r="F11" s="59" t="s">
        <v>7</v>
      </c>
      <c r="G11" s="61">
        <v>102</v>
      </c>
      <c r="J11" s="68"/>
      <c r="L11" s="480" t="s">
        <v>210</v>
      </c>
      <c r="M11" s="485" t="s">
        <v>93</v>
      </c>
      <c r="N11" s="488"/>
      <c r="P11" s="68"/>
      <c r="Q11" s="68"/>
    </row>
    <row r="12" spans="1:17">
      <c r="A12" s="1376">
        <f>margins!J8</f>
        <v>6.375</v>
      </c>
      <c r="B12" s="496">
        <v>97.00800000000001</v>
      </c>
      <c r="C12" s="496">
        <v>96.908000000000001</v>
      </c>
      <c r="D12" s="926">
        <v>96.908000000000001</v>
      </c>
      <c r="E12" s="75" t="s">
        <v>198</v>
      </c>
      <c r="F12" s="59" t="s">
        <v>9</v>
      </c>
      <c r="G12" s="61">
        <v>101.5</v>
      </c>
      <c r="H12" s="68"/>
      <c r="I12" s="1005"/>
      <c r="J12" s="68"/>
      <c r="L12" s="481" t="s">
        <v>211</v>
      </c>
      <c r="M12" s="485">
        <v>7.875</v>
      </c>
      <c r="N12" s="959">
        <f>IF(M11="7/6 Arm",VLOOKUP(M12,$A$8:$D$37,2,FALSE),IF(M11="10/6 Arm",VLOOKUP(M12,$A$8:$D$37,3,FALSE),VLOOKUP(M12,$A$8:$D$37,4,FALSE)))</f>
        <v>104.25200000000001</v>
      </c>
      <c r="P12" s="68"/>
      <c r="Q12" s="68"/>
    </row>
    <row r="13" spans="1:17">
      <c r="A13" s="1376">
        <f>margins!J9</f>
        <v>6.5</v>
      </c>
      <c r="B13" s="496">
        <v>97.725999999999999</v>
      </c>
      <c r="C13" s="496">
        <v>97.626000000000005</v>
      </c>
      <c r="D13" s="926">
        <v>97.626000000000005</v>
      </c>
      <c r="F13" s="59" t="s">
        <v>11</v>
      </c>
      <c r="G13" s="61">
        <v>99.5</v>
      </c>
      <c r="H13" s="68"/>
      <c r="I13" s="1005"/>
      <c r="J13" s="68"/>
      <c r="L13" s="481" t="s">
        <v>386</v>
      </c>
      <c r="M13" s="485" t="s">
        <v>16</v>
      </c>
      <c r="N13" s="489"/>
    </row>
    <row r="14" spans="1:17" ht="15.75" thickBot="1">
      <c r="A14" s="1376">
        <f>margins!J10</f>
        <v>6.625</v>
      </c>
      <c r="B14" s="496">
        <v>98.445000000000007</v>
      </c>
      <c r="C14" s="496">
        <v>98.344999999999999</v>
      </c>
      <c r="D14" s="926">
        <v>98.344999999999999</v>
      </c>
      <c r="F14" s="62" t="s">
        <v>101</v>
      </c>
      <c r="G14" s="63">
        <v>98.5</v>
      </c>
      <c r="H14" s="68"/>
      <c r="I14" s="1005"/>
      <c r="J14" s="68"/>
      <c r="L14" s="481" t="s">
        <v>212</v>
      </c>
      <c r="M14" s="485" t="s">
        <v>692</v>
      </c>
      <c r="N14" s="489">
        <f>IFERROR(INDEX($C$42:$H$43,MATCH(M14,B42:B43,0),MATCH(M13,C41:H41,0),1),0)</f>
        <v>0.12499999999999989</v>
      </c>
    </row>
    <row r="15" spans="1:17" ht="15.75" thickBot="1">
      <c r="A15" s="1376">
        <f>margins!J11</f>
        <v>6.75</v>
      </c>
      <c r="B15" s="496">
        <v>99.132000000000005</v>
      </c>
      <c r="C15" s="496">
        <v>99.031999999999996</v>
      </c>
      <c r="D15" s="926">
        <v>99.031999999999996</v>
      </c>
      <c r="G15" s="1"/>
      <c r="H15" s="68"/>
      <c r="J15" s="68"/>
      <c r="L15" s="481" t="s">
        <v>114</v>
      </c>
      <c r="M15" s="485" t="s">
        <v>118</v>
      </c>
      <c r="N15" s="489">
        <f>IFERROR(INDEX($C$44:$H$45,MATCH(M15,B44:B45,0),MATCH(M13,$C$41:$H$41,0),1),0)</f>
        <v>0</v>
      </c>
    </row>
    <row r="16" spans="1:17">
      <c r="A16" s="1376">
        <f>margins!J12</f>
        <v>6.875</v>
      </c>
      <c r="B16" s="496">
        <v>99.820000000000007</v>
      </c>
      <c r="C16" s="496">
        <v>99.72</v>
      </c>
      <c r="D16" s="926">
        <v>99.72</v>
      </c>
      <c r="F16" s="465" t="s">
        <v>103</v>
      </c>
      <c r="G16" s="466"/>
      <c r="H16" s="467"/>
      <c r="I16" s="470"/>
      <c r="J16" s="68"/>
      <c r="L16" s="481" t="s">
        <v>47</v>
      </c>
      <c r="M16" s="485" t="s">
        <v>247</v>
      </c>
      <c r="N16" s="489">
        <f t="shared" ref="N16:N26" si="1">IFERROR(INDEX($C$50:$H$76,MATCH(M16,$B$50:$B$76,0),MATCH($M$13,$C$41:$H$41,0),1),0)</f>
        <v>0</v>
      </c>
    </row>
    <row r="17" spans="1:14">
      <c r="A17" s="1376">
        <f>margins!J13</f>
        <v>7</v>
      </c>
      <c r="B17" s="496">
        <v>100.476</v>
      </c>
      <c r="C17" s="496">
        <v>100.376</v>
      </c>
      <c r="D17" s="926">
        <v>100.376</v>
      </c>
      <c r="F17" s="1797" t="s">
        <v>686</v>
      </c>
      <c r="G17" s="1798"/>
      <c r="H17" s="1799"/>
      <c r="I17" s="470"/>
      <c r="J17" s="68"/>
      <c r="L17" s="481" t="s">
        <v>56</v>
      </c>
      <c r="M17" s="485" t="s">
        <v>203</v>
      </c>
      <c r="N17" s="489">
        <f t="shared" si="1"/>
        <v>0</v>
      </c>
    </row>
    <row r="18" spans="1:14">
      <c r="A18" s="1376">
        <f>margins!J14</f>
        <v>7.125</v>
      </c>
      <c r="B18" s="496">
        <v>101.164</v>
      </c>
      <c r="C18" s="496">
        <v>101.06400000000001</v>
      </c>
      <c r="D18" s="926">
        <v>101.06400000000001</v>
      </c>
      <c r="F18" s="1797" t="s">
        <v>475</v>
      </c>
      <c r="G18" s="1798"/>
      <c r="H18" s="1799"/>
      <c r="I18" s="470"/>
      <c r="J18" s="68"/>
      <c r="L18" s="481" t="s">
        <v>62</v>
      </c>
      <c r="M18" s="485" t="s">
        <v>203</v>
      </c>
      <c r="N18" s="489">
        <f t="shared" si="1"/>
        <v>0</v>
      </c>
    </row>
    <row r="19" spans="1:14" ht="15" customHeight="1">
      <c r="A19" s="1376">
        <f>margins!J15</f>
        <v>7.25</v>
      </c>
      <c r="B19" s="496">
        <v>101.82000000000001</v>
      </c>
      <c r="C19" s="496">
        <v>101.72</v>
      </c>
      <c r="D19" s="926">
        <v>101.72</v>
      </c>
      <c r="F19" s="1360" t="s">
        <v>684</v>
      </c>
      <c r="G19" s="836"/>
      <c r="H19" s="1361"/>
      <c r="I19" s="470"/>
      <c r="J19" s="68"/>
      <c r="L19" s="481" t="s">
        <v>214</v>
      </c>
      <c r="M19" s="485" t="s">
        <v>203</v>
      </c>
      <c r="N19" s="489">
        <f t="shared" si="1"/>
        <v>0</v>
      </c>
    </row>
    <row r="20" spans="1:14" ht="15.75" thickBot="1">
      <c r="A20" s="1376">
        <f>margins!J16</f>
        <v>7.375</v>
      </c>
      <c r="B20" s="496">
        <v>102.477</v>
      </c>
      <c r="C20" s="496">
        <v>102.37700000000001</v>
      </c>
      <c r="D20" s="926">
        <v>102.37700000000001</v>
      </c>
      <c r="F20" s="1809" t="s">
        <v>685</v>
      </c>
      <c r="G20" s="1810"/>
      <c r="H20" s="1811"/>
      <c r="I20" s="470"/>
      <c r="J20" s="68"/>
      <c r="L20" s="481" t="s">
        <v>141</v>
      </c>
      <c r="M20" s="485" t="s">
        <v>141</v>
      </c>
      <c r="N20" s="489">
        <f t="shared" si="1"/>
        <v>-0.5</v>
      </c>
    </row>
    <row r="21" spans="1:14" ht="15.75" thickBot="1">
      <c r="A21" s="1376">
        <f>margins!J17</f>
        <v>7.5</v>
      </c>
      <c r="B21" s="496">
        <v>103.00800000000001</v>
      </c>
      <c r="C21" s="496">
        <v>102.908</v>
      </c>
      <c r="D21" s="926">
        <v>102.908</v>
      </c>
      <c r="F21" s="1812"/>
      <c r="G21" s="1812"/>
      <c r="H21" s="1812"/>
      <c r="I21" s="470"/>
      <c r="J21" s="68"/>
      <c r="L21" s="481" t="s">
        <v>215</v>
      </c>
      <c r="M21" s="485" t="s">
        <v>99</v>
      </c>
      <c r="N21" s="489">
        <f t="shared" si="1"/>
        <v>1</v>
      </c>
    </row>
    <row r="22" spans="1:14">
      <c r="A22" s="1376">
        <f>margins!J18</f>
        <v>7.625</v>
      </c>
      <c r="B22" s="496">
        <v>103.477</v>
      </c>
      <c r="C22" s="496">
        <v>103.37700000000001</v>
      </c>
      <c r="D22" s="926">
        <v>103.37700000000001</v>
      </c>
      <c r="F22" s="446" t="s">
        <v>104</v>
      </c>
      <c r="G22" s="447"/>
      <c r="H22" s="27"/>
      <c r="I22" s="470"/>
      <c r="J22" s="68"/>
      <c r="L22" s="481" t="s">
        <v>699</v>
      </c>
      <c r="M22" s="485" t="s">
        <v>203</v>
      </c>
      <c r="N22" s="489">
        <f>IFERROR(INDEX($C$67:$H$76,MATCH(M22,$B$67:$B$76,0),MATCH($M$13,$C$41:$H$41,0),1),0)</f>
        <v>0</v>
      </c>
    </row>
    <row r="23" spans="1:14">
      <c r="A23" s="1376">
        <f>margins!J19</f>
        <v>7.75</v>
      </c>
      <c r="B23" s="496">
        <v>103.91500000000001</v>
      </c>
      <c r="C23" s="496">
        <v>103.815</v>
      </c>
      <c r="D23" s="926">
        <v>103.815</v>
      </c>
      <c r="F23" s="448" t="s">
        <v>105</v>
      </c>
      <c r="G23" s="449" t="s">
        <v>106</v>
      </c>
      <c r="H23" s="1"/>
      <c r="I23" s="472"/>
      <c r="J23" s="68"/>
      <c r="L23" s="481" t="s">
        <v>69</v>
      </c>
      <c r="M23" s="485" t="s">
        <v>69</v>
      </c>
      <c r="N23" s="489">
        <f t="shared" si="1"/>
        <v>-0.25</v>
      </c>
    </row>
    <row r="24" spans="1:14">
      <c r="A24" s="1376">
        <f>margins!J20</f>
        <v>7.875</v>
      </c>
      <c r="B24" s="496">
        <v>104.352</v>
      </c>
      <c r="C24" s="496">
        <v>104.25200000000001</v>
      </c>
      <c r="D24" s="926">
        <v>104.25200000000001</v>
      </c>
      <c r="F24" s="450" t="s">
        <v>107</v>
      </c>
      <c r="G24" s="451">
        <v>4.5</v>
      </c>
      <c r="I24" s="472"/>
      <c r="J24" s="68"/>
      <c r="L24" s="481" t="s">
        <v>509</v>
      </c>
      <c r="M24" s="485" t="s">
        <v>203</v>
      </c>
      <c r="N24" s="489">
        <f t="shared" si="1"/>
        <v>0</v>
      </c>
    </row>
    <row r="25" spans="1:14">
      <c r="A25" s="1376">
        <f>margins!J21</f>
        <v>8</v>
      </c>
      <c r="B25" s="496">
        <v>104.79</v>
      </c>
      <c r="C25" s="496">
        <v>104.69</v>
      </c>
      <c r="D25" s="926">
        <v>104.69</v>
      </c>
      <c r="F25" s="450" t="s">
        <v>282</v>
      </c>
      <c r="G25" s="452" t="s">
        <v>108</v>
      </c>
      <c r="I25" s="470"/>
      <c r="J25" s="68"/>
      <c r="L25" s="481" t="s">
        <v>700</v>
      </c>
      <c r="M25" s="485" t="s">
        <v>203</v>
      </c>
      <c r="N25" s="489">
        <f t="shared" si="1"/>
        <v>0</v>
      </c>
    </row>
    <row r="26" spans="1:14" ht="15.75" thickBot="1">
      <c r="A26" s="1376">
        <f>margins!J22</f>
        <v>8.125</v>
      </c>
      <c r="B26" s="496">
        <v>105.227</v>
      </c>
      <c r="C26" s="496">
        <v>105.12700000000001</v>
      </c>
      <c r="D26" s="926">
        <v>105.12700000000001</v>
      </c>
      <c r="F26" s="453" t="s">
        <v>109</v>
      </c>
      <c r="G26" s="454" t="s">
        <v>110</v>
      </c>
      <c r="I26" s="470"/>
      <c r="J26" s="68"/>
      <c r="L26" s="481" t="s">
        <v>503</v>
      </c>
      <c r="M26" s="485" t="s">
        <v>203</v>
      </c>
      <c r="N26" s="489">
        <f t="shared" si="1"/>
        <v>0</v>
      </c>
    </row>
    <row r="27" spans="1:14" ht="15.75" thickBot="1">
      <c r="A27" s="1376">
        <f>margins!J23</f>
        <v>8.25</v>
      </c>
      <c r="B27" s="496">
        <v>105.602</v>
      </c>
      <c r="C27" s="496">
        <v>105.50200000000001</v>
      </c>
      <c r="D27" s="926">
        <v>105.50200000000001</v>
      </c>
      <c r="G27" s="1"/>
      <c r="I27" s="470"/>
      <c r="J27" s="68"/>
      <c r="L27" s="481" t="s">
        <v>217</v>
      </c>
      <c r="M27" s="485" t="s">
        <v>203</v>
      </c>
      <c r="N27" s="489">
        <f>_xlfn.IFNA(VLOOKUP(M27,$F$32:$G$33, 2,0), 0)</f>
        <v>0</v>
      </c>
    </row>
    <row r="28" spans="1:14" ht="15.75" thickBot="1">
      <c r="A28" s="1376">
        <f>margins!J24</f>
        <v>8.375</v>
      </c>
      <c r="B28" s="496">
        <v>105.977</v>
      </c>
      <c r="C28" s="496">
        <v>105.87700000000001</v>
      </c>
      <c r="D28" s="926">
        <v>105.87700000000001</v>
      </c>
      <c r="F28" s="465" t="s">
        <v>713</v>
      </c>
      <c r="G28" s="467"/>
      <c r="I28" s="470"/>
      <c r="J28" s="68"/>
      <c r="L28" s="482" t="s">
        <v>218</v>
      </c>
      <c r="M28" s="486"/>
      <c r="N28" s="490">
        <f>SUM(N14:N27)</f>
        <v>0.37499999999999989</v>
      </c>
    </row>
    <row r="29" spans="1:14" ht="15.75" thickBot="1">
      <c r="A29" s="1376">
        <f>margins!J25</f>
        <v>8.5</v>
      </c>
      <c r="B29" s="496">
        <v>106.352</v>
      </c>
      <c r="C29" s="496">
        <v>106.25200000000001</v>
      </c>
      <c r="D29" s="926">
        <v>106.25200000000001</v>
      </c>
      <c r="F29" s="1404" t="s">
        <v>714</v>
      </c>
      <c r="G29" s="1405"/>
      <c r="H29" s="1"/>
      <c r="I29" s="470"/>
      <c r="J29" s="68"/>
      <c r="L29" s="473"/>
      <c r="M29" s="474"/>
      <c r="N29" s="483"/>
    </row>
    <row r="30" spans="1:14" ht="15.75" thickBot="1">
      <c r="A30" s="1376">
        <f>margins!J26</f>
        <v>8.625</v>
      </c>
      <c r="B30" s="496">
        <v>106.727</v>
      </c>
      <c r="C30" s="496">
        <v>106.62700000000001</v>
      </c>
      <c r="D30" s="926">
        <v>106.62700000000001</v>
      </c>
      <c r="I30" s="470"/>
      <c r="J30" s="68"/>
      <c r="L30" s="475" t="s">
        <v>219</v>
      </c>
      <c r="M30" s="476"/>
      <c r="N30" s="663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376">
        <f>margins!J27</f>
        <v>8.75</v>
      </c>
      <c r="B31" s="496">
        <v>107.102</v>
      </c>
      <c r="C31" s="496">
        <v>107.00200000000001</v>
      </c>
      <c r="D31" s="926">
        <v>107.00200000000001</v>
      </c>
      <c r="F31" s="446" t="s">
        <v>111</v>
      </c>
      <c r="G31" s="447"/>
      <c r="I31" s="470"/>
      <c r="J31" s="68"/>
      <c r="L31" s="470"/>
      <c r="M31" s="470"/>
      <c r="N31" s="470"/>
    </row>
    <row r="32" spans="1:14" ht="15.75" thickBot="1">
      <c r="A32" s="1376">
        <f>margins!J28</f>
        <v>8.875</v>
      </c>
      <c r="B32" s="496">
        <v>107.41500000000001</v>
      </c>
      <c r="C32" s="496">
        <v>107.315</v>
      </c>
      <c r="D32" s="926">
        <v>107.315</v>
      </c>
      <c r="F32" s="455" t="s">
        <v>112</v>
      </c>
      <c r="G32" s="456">
        <v>0</v>
      </c>
      <c r="I32" s="470"/>
      <c r="J32" s="68"/>
      <c r="L32" s="846" t="s">
        <v>702</v>
      </c>
      <c r="M32" s="847"/>
      <c r="N32" s="848"/>
    </row>
    <row r="33" spans="1:24" ht="15.75" thickBot="1">
      <c r="A33" s="1376">
        <f>margins!J29</f>
        <v>9</v>
      </c>
      <c r="B33" s="496">
        <v>107.66500000000001</v>
      </c>
      <c r="C33" s="496">
        <v>107.565</v>
      </c>
      <c r="D33" s="926">
        <v>107.565</v>
      </c>
      <c r="F33" s="838" t="s">
        <v>113</v>
      </c>
      <c r="G33" s="839">
        <v>-0.375</v>
      </c>
      <c r="I33" s="472"/>
      <c r="J33" s="68"/>
    </row>
    <row r="34" spans="1:24">
      <c r="A34" s="1376">
        <f>margins!J30</f>
        <v>9.125</v>
      </c>
      <c r="B34" s="496">
        <v>107.91500000000001</v>
      </c>
      <c r="C34" s="496">
        <v>107.815</v>
      </c>
      <c r="D34" s="926">
        <v>107.815</v>
      </c>
      <c r="I34" s="472"/>
      <c r="J34" s="470"/>
      <c r="L34" s="470"/>
      <c r="M34" s="470"/>
    </row>
    <row r="35" spans="1:24">
      <c r="A35" s="1376">
        <f>margins!J31</f>
        <v>9.25</v>
      </c>
      <c r="B35" s="496">
        <v>108.16500000000001</v>
      </c>
      <c r="C35" s="496">
        <v>108.065</v>
      </c>
      <c r="D35" s="926">
        <v>108.065</v>
      </c>
      <c r="I35" s="472"/>
      <c r="J35" s="470"/>
      <c r="L35" s="470"/>
      <c r="M35" s="470"/>
    </row>
    <row r="36" spans="1:24" ht="15" customHeight="1">
      <c r="A36" s="1376">
        <f>margins!J32</f>
        <v>9.375</v>
      </c>
      <c r="B36" s="496">
        <v>108.41500000000001</v>
      </c>
      <c r="C36" s="496">
        <v>108.315</v>
      </c>
      <c r="D36" s="926">
        <v>108.315</v>
      </c>
      <c r="I36" s="472"/>
      <c r="J36" s="470"/>
      <c r="K36" s="470"/>
      <c r="M36" s="470"/>
    </row>
    <row r="37" spans="1:24" ht="15.75" thickBot="1">
      <c r="A37" s="1377">
        <f>margins!J33</f>
        <v>9.5</v>
      </c>
      <c r="B37" s="927">
        <v>108.66500000000001</v>
      </c>
      <c r="C37" s="927">
        <v>108.565</v>
      </c>
      <c r="D37" s="928">
        <v>108.565</v>
      </c>
      <c r="I37" s="472"/>
      <c r="J37" s="470"/>
      <c r="K37" s="470"/>
    </row>
    <row r="38" spans="1:24">
      <c r="I38" s="470"/>
    </row>
    <row r="40" spans="1:24">
      <c r="A40" s="3" t="s">
        <v>458</v>
      </c>
      <c r="B40" s="3"/>
      <c r="C40" s="1"/>
      <c r="D40" s="1"/>
      <c r="E40" s="1"/>
      <c r="F40" s="20"/>
      <c r="G40" s="1"/>
      <c r="H40" s="21"/>
      <c r="I40" s="20"/>
      <c r="J40" s="469"/>
      <c r="L40" s="68"/>
      <c r="M40" s="68"/>
      <c r="N40" s="68"/>
    </row>
    <row r="41" spans="1:24">
      <c r="A41" s="1803" t="s">
        <v>114</v>
      </c>
      <c r="B41" s="468" t="s">
        <v>203</v>
      </c>
      <c r="C41" s="457" t="s">
        <v>15</v>
      </c>
      <c r="D41" s="457" t="s">
        <v>16</v>
      </c>
      <c r="E41" s="457" t="s">
        <v>17</v>
      </c>
      <c r="F41" s="457" t="s">
        <v>18</v>
      </c>
      <c r="G41" s="457" t="s">
        <v>19</v>
      </c>
      <c r="H41" s="458" t="s">
        <v>20</v>
      </c>
      <c r="L41" s="68"/>
      <c r="M41" s="68"/>
      <c r="N41" s="68"/>
    </row>
    <row r="42" spans="1:24">
      <c r="A42" s="1804"/>
      <c r="B42" s="459" t="s">
        <v>691</v>
      </c>
      <c r="C42" s="931">
        <v>0.49999999999999989</v>
      </c>
      <c r="D42" s="911">
        <v>0.12499999999999989</v>
      </c>
      <c r="E42" s="911">
        <v>-0.12500000000000011</v>
      </c>
      <c r="F42" s="911">
        <v>-1</v>
      </c>
      <c r="G42" s="911">
        <v>-2.5</v>
      </c>
      <c r="H42" s="912">
        <v>-3.75</v>
      </c>
      <c r="K42" s="68"/>
      <c r="L42" s="68"/>
      <c r="M42" s="68"/>
      <c r="N42" s="68"/>
      <c r="O42" s="68"/>
      <c r="P42" s="68"/>
      <c r="Q42" s="68"/>
      <c r="S42" s="68"/>
      <c r="T42" s="68"/>
      <c r="U42" s="68"/>
      <c r="V42" s="68"/>
      <c r="W42" s="68"/>
      <c r="X42" s="68"/>
    </row>
    <row r="43" spans="1:24">
      <c r="A43" s="1805"/>
      <c r="B43" s="460" t="s">
        <v>692</v>
      </c>
      <c r="C43" s="932">
        <v>0.5</v>
      </c>
      <c r="D43" s="915">
        <v>0.12499999999999989</v>
      </c>
      <c r="E43" s="915">
        <v>-0.12500000000000011</v>
      </c>
      <c r="F43" s="915">
        <v>-1</v>
      </c>
      <c r="G43" s="915">
        <v>-2.5</v>
      </c>
      <c r="H43" s="916">
        <v>-3.75</v>
      </c>
      <c r="K43" s="68"/>
      <c r="L43" s="68"/>
      <c r="M43" s="68"/>
      <c r="N43" s="68"/>
      <c r="O43" s="68"/>
      <c r="P43" s="68"/>
      <c r="Q43" s="68"/>
      <c r="S43" s="68"/>
      <c r="T43" s="68"/>
      <c r="U43" s="68"/>
      <c r="V43" s="68"/>
      <c r="W43" s="68"/>
      <c r="X43" s="68"/>
    </row>
    <row r="44" spans="1:24">
      <c r="A44" s="1803" t="s">
        <v>697</v>
      </c>
      <c r="B44" s="457" t="s">
        <v>117</v>
      </c>
      <c r="C44" s="931">
        <v>0.5</v>
      </c>
      <c r="D44" s="911">
        <v>0.5</v>
      </c>
      <c r="E44" s="911">
        <v>0.5</v>
      </c>
      <c r="F44" s="911">
        <v>0.625</v>
      </c>
      <c r="G44" s="911">
        <v>0.625</v>
      </c>
      <c r="H44" s="912">
        <v>0.625</v>
      </c>
      <c r="K44" s="68"/>
      <c r="L44" s="68"/>
      <c r="M44" s="68"/>
      <c r="N44" s="68"/>
      <c r="O44" s="68"/>
      <c r="P44" s="68"/>
      <c r="Q44" s="68"/>
    </row>
    <row r="45" spans="1:24">
      <c r="A45" s="1805"/>
      <c r="B45" s="460" t="s">
        <v>118</v>
      </c>
      <c r="C45" s="932">
        <v>0</v>
      </c>
      <c r="D45" s="915">
        <v>0</v>
      </c>
      <c r="E45" s="915">
        <v>0</v>
      </c>
      <c r="F45" s="915">
        <v>0</v>
      </c>
      <c r="G45" s="915">
        <v>0</v>
      </c>
      <c r="H45" s="916">
        <v>0</v>
      </c>
      <c r="K45" s="68"/>
      <c r="O45" s="68"/>
      <c r="P45" s="68"/>
      <c r="Q45" s="68"/>
    </row>
    <row r="46" spans="1:24">
      <c r="A46" s="68"/>
      <c r="B46" s="68"/>
      <c r="C46" s="68"/>
      <c r="D46" s="68"/>
      <c r="E46" s="68"/>
      <c r="F46" s="68"/>
      <c r="G46" s="68"/>
      <c r="H46" s="68"/>
      <c r="K46" s="68"/>
      <c r="O46" s="68"/>
      <c r="P46" s="68"/>
      <c r="Q46" s="68"/>
    </row>
    <row r="47" spans="1:24">
      <c r="A47" s="461"/>
      <c r="B47" s="469" t="s">
        <v>203</v>
      </c>
      <c r="C47" s="68"/>
      <c r="D47" s="68"/>
      <c r="E47" s="68"/>
      <c r="F47" s="68"/>
      <c r="G47" s="68"/>
      <c r="H47" s="68"/>
    </row>
    <row r="48" spans="1:24">
      <c r="A48" s="3" t="s">
        <v>121</v>
      </c>
      <c r="L48" s="68"/>
      <c r="M48" s="68"/>
      <c r="N48" s="68"/>
    </row>
    <row r="49" spans="1:18">
      <c r="A49" s="64"/>
      <c r="B49" s="102" t="s">
        <v>329</v>
      </c>
      <c r="C49" s="457" t="s">
        <v>15</v>
      </c>
      <c r="D49" s="457" t="s">
        <v>16</v>
      </c>
      <c r="E49" s="457" t="s">
        <v>17</v>
      </c>
      <c r="F49" s="457" t="s">
        <v>18</v>
      </c>
      <c r="G49" s="457" t="s">
        <v>19</v>
      </c>
      <c r="H49" s="458" t="s">
        <v>20</v>
      </c>
      <c r="L49" s="68"/>
      <c r="M49" s="68"/>
      <c r="N49" s="68"/>
    </row>
    <row r="50" spans="1:18">
      <c r="A50" s="1806" t="s">
        <v>47</v>
      </c>
      <c r="B50" s="935" t="s">
        <v>492</v>
      </c>
      <c r="C50" s="914">
        <v>-0.75</v>
      </c>
      <c r="D50" s="914">
        <v>-0.75</v>
      </c>
      <c r="E50" s="914">
        <v>-0.875</v>
      </c>
      <c r="F50" s="914">
        <v>-0.875</v>
      </c>
      <c r="G50" s="914">
        <v>-0.875</v>
      </c>
      <c r="H50" s="878">
        <v>-1.75</v>
      </c>
      <c r="K50" s="68"/>
      <c r="L50" s="68"/>
      <c r="M50" s="68"/>
      <c r="N50" s="68"/>
      <c r="O50" s="68"/>
      <c r="P50" s="68"/>
      <c r="Q50" s="68"/>
    </row>
    <row r="51" spans="1:18">
      <c r="A51" s="1807"/>
      <c r="B51" s="934" t="s">
        <v>131</v>
      </c>
      <c r="C51" s="914">
        <v>-0.25</v>
      </c>
      <c r="D51" s="914">
        <v>-0.25</v>
      </c>
      <c r="E51" s="914">
        <v>-0.25</v>
      </c>
      <c r="F51" s="914">
        <v>-0.25</v>
      </c>
      <c r="G51" s="914">
        <v>-0.25</v>
      </c>
      <c r="H51" s="878">
        <v>-0.25</v>
      </c>
      <c r="K51" s="68"/>
      <c r="L51" s="68"/>
      <c r="M51" s="68"/>
      <c r="N51" s="68"/>
      <c r="O51" s="68"/>
      <c r="P51" s="68"/>
      <c r="Q51" s="68"/>
    </row>
    <row r="52" spans="1:18">
      <c r="A52" s="1807"/>
      <c r="B52" s="935" t="s">
        <v>247</v>
      </c>
      <c r="C52" s="914">
        <v>0</v>
      </c>
      <c r="D52" s="914">
        <v>0</v>
      </c>
      <c r="E52" s="914">
        <v>0</v>
      </c>
      <c r="F52" s="914">
        <v>0</v>
      </c>
      <c r="G52" s="914">
        <v>0</v>
      </c>
      <c r="H52" s="878">
        <v>0</v>
      </c>
      <c r="K52" s="68"/>
      <c r="L52" s="68"/>
      <c r="M52" s="68"/>
      <c r="N52" s="68"/>
      <c r="O52" s="68"/>
      <c r="P52" s="68"/>
      <c r="Q52" s="68"/>
    </row>
    <row r="53" spans="1:18">
      <c r="A53" s="1807"/>
      <c r="B53" s="935" t="s">
        <v>248</v>
      </c>
      <c r="C53" s="914">
        <v>0</v>
      </c>
      <c r="D53" s="914">
        <v>0</v>
      </c>
      <c r="E53" s="914">
        <v>0</v>
      </c>
      <c r="F53" s="914">
        <v>0</v>
      </c>
      <c r="G53" s="914">
        <v>0</v>
      </c>
      <c r="H53" s="878">
        <v>0</v>
      </c>
      <c r="K53" s="68"/>
      <c r="L53" s="68"/>
      <c r="M53" s="68"/>
      <c r="N53" s="68"/>
      <c r="O53" s="68"/>
      <c r="P53" s="68"/>
      <c r="Q53" s="68"/>
    </row>
    <row r="54" spans="1:18">
      <c r="A54" s="1808"/>
      <c r="B54" s="935" t="s">
        <v>50</v>
      </c>
      <c r="C54" s="914">
        <v>0</v>
      </c>
      <c r="D54" s="914">
        <v>0</v>
      </c>
      <c r="E54" s="914">
        <v>0</v>
      </c>
      <c r="F54" s="914">
        <v>0</v>
      </c>
      <c r="G54" s="914">
        <v>0</v>
      </c>
      <c r="H54" s="878">
        <v>0</v>
      </c>
      <c r="K54" s="68"/>
      <c r="L54" s="68"/>
      <c r="M54" s="68"/>
      <c r="N54" s="68"/>
      <c r="O54" s="68"/>
      <c r="P54" s="68"/>
      <c r="Q54" s="68"/>
    </row>
    <row r="55" spans="1:18">
      <c r="A55" s="1373" t="s">
        <v>56</v>
      </c>
      <c r="B55" s="1368" t="s">
        <v>59</v>
      </c>
      <c r="C55" s="1369">
        <v>-0.375</v>
      </c>
      <c r="D55" s="1369">
        <v>-0.375</v>
      </c>
      <c r="E55" s="1369">
        <v>-0.375</v>
      </c>
      <c r="F55" s="1369">
        <v>-0.5</v>
      </c>
      <c r="G55" s="1369" t="s">
        <v>14</v>
      </c>
      <c r="H55" s="1015" t="s">
        <v>14</v>
      </c>
      <c r="K55" s="68"/>
      <c r="L55" s="68"/>
      <c r="M55" s="68"/>
      <c r="N55" s="68"/>
      <c r="O55" s="68"/>
      <c r="P55" s="68"/>
      <c r="Q55" s="68"/>
    </row>
    <row r="56" spans="1:18">
      <c r="A56" s="1807" t="s">
        <v>62</v>
      </c>
      <c r="B56" s="935" t="s">
        <v>63</v>
      </c>
      <c r="C56" s="914">
        <v>-0.125</v>
      </c>
      <c r="D56" s="914">
        <v>-0.125</v>
      </c>
      <c r="E56" s="914">
        <v>-0.125</v>
      </c>
      <c r="F56" s="914">
        <v>-0.25</v>
      </c>
      <c r="G56" s="914">
        <v>-0.5</v>
      </c>
      <c r="H56" s="878" t="s">
        <v>14</v>
      </c>
      <c r="K56" s="68"/>
      <c r="L56" s="68"/>
      <c r="M56" s="68"/>
      <c r="N56" s="68"/>
      <c r="O56" s="68"/>
      <c r="P56" s="68"/>
      <c r="Q56" s="68"/>
    </row>
    <row r="57" spans="1:18">
      <c r="A57" s="1807"/>
      <c r="B57" s="934" t="s">
        <v>194</v>
      </c>
      <c r="C57" s="914">
        <v>-1.375</v>
      </c>
      <c r="D57" s="914">
        <v>-1.375</v>
      </c>
      <c r="E57" s="914">
        <v>-1.375</v>
      </c>
      <c r="F57" s="914">
        <v>-1.375</v>
      </c>
      <c r="G57" s="914">
        <v>-1.375</v>
      </c>
      <c r="H57" s="878" t="s">
        <v>14</v>
      </c>
      <c r="K57" s="68"/>
      <c r="L57" s="68"/>
      <c r="M57" s="68"/>
      <c r="N57" s="68"/>
      <c r="O57" s="68"/>
      <c r="P57" s="68"/>
      <c r="Q57" s="68"/>
    </row>
    <row r="58" spans="1:18">
      <c r="A58" s="1808"/>
      <c r="B58" s="936" t="s">
        <v>64</v>
      </c>
      <c r="C58" s="915">
        <v>-0.5</v>
      </c>
      <c r="D58" s="915">
        <v>-0.5</v>
      </c>
      <c r="E58" s="915">
        <v>-0.5</v>
      </c>
      <c r="F58" s="915">
        <v>-0.5</v>
      </c>
      <c r="G58" s="915">
        <v>-0.625</v>
      </c>
      <c r="H58" s="916" t="s">
        <v>14</v>
      </c>
      <c r="K58" s="68"/>
      <c r="L58" s="68"/>
      <c r="M58" s="68"/>
      <c r="N58" s="68"/>
      <c r="O58" s="68"/>
      <c r="P58" s="68"/>
      <c r="Q58" s="68"/>
    </row>
    <row r="59" spans="1:18">
      <c r="A59" s="1806" t="s">
        <v>65</v>
      </c>
      <c r="B59" s="934" t="s">
        <v>140</v>
      </c>
      <c r="C59" s="914">
        <v>-0.25</v>
      </c>
      <c r="D59" s="914">
        <v>-0.25</v>
      </c>
      <c r="E59" s="914">
        <v>-0.25</v>
      </c>
      <c r="F59" s="914">
        <v>-0.25</v>
      </c>
      <c r="G59" s="914">
        <v>-0.25</v>
      </c>
      <c r="H59" s="878">
        <v>-0.375</v>
      </c>
      <c r="K59" s="68"/>
      <c r="L59" s="68"/>
      <c r="M59" s="68"/>
      <c r="N59" s="68"/>
      <c r="O59" s="68"/>
      <c r="P59" s="68"/>
      <c r="Q59" s="68"/>
    </row>
    <row r="60" spans="1:18">
      <c r="A60" s="1808"/>
      <c r="B60" s="934" t="s">
        <v>141</v>
      </c>
      <c r="C60" s="914">
        <v>-0.5</v>
      </c>
      <c r="D60" s="914">
        <v>-0.5</v>
      </c>
      <c r="E60" s="914">
        <v>-0.5</v>
      </c>
      <c r="F60" s="914">
        <v>-0.5</v>
      </c>
      <c r="G60" s="914">
        <v>-0.625</v>
      </c>
      <c r="H60" s="878">
        <v>-0.75</v>
      </c>
      <c r="K60" s="68"/>
      <c r="L60" s="68"/>
      <c r="M60" s="68"/>
      <c r="N60" s="68"/>
      <c r="O60" s="68"/>
      <c r="P60" s="68"/>
      <c r="Q60" s="68"/>
    </row>
    <row r="61" spans="1:18">
      <c r="A61" s="1813" t="s">
        <v>698</v>
      </c>
      <c r="B61" s="937" t="s">
        <v>99</v>
      </c>
      <c r="C61" s="911">
        <v>1</v>
      </c>
      <c r="D61" s="911">
        <v>1</v>
      </c>
      <c r="E61" s="911">
        <v>1</v>
      </c>
      <c r="F61" s="911">
        <v>1</v>
      </c>
      <c r="G61" s="911">
        <v>1.125</v>
      </c>
      <c r="H61" s="912">
        <v>1.125</v>
      </c>
      <c r="K61" s="68"/>
      <c r="L61" s="68"/>
      <c r="M61" s="68"/>
      <c r="N61" s="68"/>
      <c r="O61" s="68"/>
      <c r="P61" s="68"/>
      <c r="Q61" s="68"/>
      <c r="R61" s="68"/>
    </row>
    <row r="62" spans="1:18">
      <c r="A62" s="1814"/>
      <c r="B62" s="934" t="s">
        <v>100</v>
      </c>
      <c r="C62" s="914">
        <v>0.75</v>
      </c>
      <c r="D62" s="914">
        <v>0.75</v>
      </c>
      <c r="E62" s="914">
        <v>0.75</v>
      </c>
      <c r="F62" s="914">
        <v>0.75</v>
      </c>
      <c r="G62" s="914">
        <v>0.875</v>
      </c>
      <c r="H62" s="878">
        <v>0.875</v>
      </c>
      <c r="K62" s="68"/>
      <c r="L62" s="68"/>
      <c r="M62" s="68"/>
      <c r="N62" s="68"/>
      <c r="O62" s="68"/>
      <c r="P62" s="68"/>
      <c r="Q62" s="68"/>
      <c r="R62" s="68"/>
    </row>
    <row r="63" spans="1:18">
      <c r="A63" s="1814"/>
      <c r="B63" s="934" t="s">
        <v>7</v>
      </c>
      <c r="C63" s="914">
        <v>0.5</v>
      </c>
      <c r="D63" s="914">
        <v>0.5</v>
      </c>
      <c r="E63" s="914">
        <v>0.5</v>
      </c>
      <c r="F63" s="914">
        <v>0.5</v>
      </c>
      <c r="G63" s="914">
        <v>0.625</v>
      </c>
      <c r="H63" s="878">
        <v>0.625</v>
      </c>
      <c r="K63" s="68"/>
      <c r="L63" s="68"/>
      <c r="M63" s="68"/>
      <c r="N63" s="68"/>
      <c r="O63" s="68"/>
      <c r="P63" s="68"/>
      <c r="Q63" s="68"/>
      <c r="R63" s="68"/>
    </row>
    <row r="64" spans="1:18">
      <c r="A64" s="1814"/>
      <c r="B64" s="934" t="s">
        <v>9</v>
      </c>
      <c r="C64" s="914">
        <v>0</v>
      </c>
      <c r="D64" s="914">
        <v>0</v>
      </c>
      <c r="E64" s="914">
        <v>0</v>
      </c>
      <c r="F64" s="914">
        <v>0</v>
      </c>
      <c r="G64" s="914">
        <v>0.125</v>
      </c>
      <c r="H64" s="878">
        <v>0.125</v>
      </c>
      <c r="K64" s="68"/>
      <c r="L64" s="68"/>
      <c r="M64" s="68"/>
      <c r="N64" s="68"/>
      <c r="O64" s="68"/>
      <c r="P64" s="68"/>
      <c r="Q64" s="68"/>
      <c r="R64" s="68"/>
    </row>
    <row r="65" spans="1:17">
      <c r="A65" s="1814"/>
      <c r="B65" s="934" t="s">
        <v>11</v>
      </c>
      <c r="C65" s="914">
        <v>-0.5</v>
      </c>
      <c r="D65" s="914">
        <v>-0.5</v>
      </c>
      <c r="E65" s="914">
        <v>-0.5</v>
      </c>
      <c r="F65" s="914">
        <v>-0.5</v>
      </c>
      <c r="G65" s="914">
        <v>-0.50000000000000022</v>
      </c>
      <c r="H65" s="878">
        <v>-0.50000000000000022</v>
      </c>
      <c r="K65" s="68"/>
      <c r="L65" s="68"/>
      <c r="M65" s="68"/>
      <c r="N65" s="68"/>
      <c r="O65" s="68"/>
      <c r="P65" s="68"/>
      <c r="Q65" s="68"/>
    </row>
    <row r="66" spans="1:17">
      <c r="A66" s="1815"/>
      <c r="B66" s="933" t="s">
        <v>101</v>
      </c>
      <c r="C66" s="915">
        <v>-1.0000000000000002</v>
      </c>
      <c r="D66" s="915">
        <v>-1.0000000000000002</v>
      </c>
      <c r="E66" s="915">
        <v>-1</v>
      </c>
      <c r="F66" s="915">
        <v>-1</v>
      </c>
      <c r="G66" s="915">
        <v>-1</v>
      </c>
      <c r="H66" s="916">
        <v>-1</v>
      </c>
      <c r="K66" s="68"/>
      <c r="L66" s="68"/>
      <c r="M66" s="68"/>
      <c r="N66" s="68"/>
      <c r="O66" s="68"/>
      <c r="P66" s="68"/>
      <c r="Q66" s="68"/>
    </row>
    <row r="67" spans="1:17">
      <c r="A67" s="1366" t="s">
        <v>693</v>
      </c>
      <c r="B67" s="938" t="s">
        <v>99</v>
      </c>
      <c r="C67" s="914">
        <v>0.625</v>
      </c>
      <c r="D67" s="914">
        <v>0.625</v>
      </c>
      <c r="E67" s="914">
        <v>0.625</v>
      </c>
      <c r="F67" s="914">
        <v>0.625</v>
      </c>
      <c r="G67" s="914">
        <v>0.75</v>
      </c>
      <c r="H67" s="878">
        <v>0.75</v>
      </c>
      <c r="K67" s="68"/>
      <c r="L67" s="68"/>
      <c r="M67" s="68"/>
      <c r="N67" s="68"/>
      <c r="O67" s="68"/>
      <c r="P67" s="68"/>
      <c r="Q67" s="68"/>
    </row>
    <row r="68" spans="1:17">
      <c r="A68" s="1367" t="s">
        <v>253</v>
      </c>
      <c r="B68" s="938" t="s">
        <v>100</v>
      </c>
      <c r="C68" s="914">
        <v>0.375</v>
      </c>
      <c r="D68" s="914">
        <v>0.375</v>
      </c>
      <c r="E68" s="914">
        <v>0.375</v>
      </c>
      <c r="F68" s="914">
        <v>0.375</v>
      </c>
      <c r="G68" s="914">
        <v>0.5</v>
      </c>
      <c r="H68" s="878">
        <v>0.5</v>
      </c>
      <c r="K68" s="68"/>
      <c r="L68" s="68"/>
      <c r="M68" s="68"/>
      <c r="N68" s="68"/>
      <c r="O68" s="68"/>
      <c r="P68" s="68"/>
      <c r="Q68" s="68"/>
    </row>
    <row r="69" spans="1:17">
      <c r="A69" s="1367" t="s">
        <v>694</v>
      </c>
      <c r="B69" s="938" t="s">
        <v>7</v>
      </c>
      <c r="C69" s="914">
        <v>0.125</v>
      </c>
      <c r="D69" s="914">
        <v>0.125</v>
      </c>
      <c r="E69" s="914">
        <v>0.125</v>
      </c>
      <c r="F69" s="914">
        <v>0.125</v>
      </c>
      <c r="G69" s="914">
        <v>0.25</v>
      </c>
      <c r="H69" s="878">
        <v>0.25</v>
      </c>
      <c r="K69" s="68"/>
      <c r="L69" s="68"/>
      <c r="M69" s="68"/>
      <c r="N69" s="68"/>
      <c r="O69" s="68"/>
      <c r="P69" s="68"/>
      <c r="Q69" s="68"/>
    </row>
    <row r="70" spans="1:17">
      <c r="A70" s="1367" t="s">
        <v>216</v>
      </c>
      <c r="B70" s="938" t="s">
        <v>9</v>
      </c>
      <c r="C70" s="914">
        <v>-0.375</v>
      </c>
      <c r="D70" s="914">
        <v>-0.375</v>
      </c>
      <c r="E70" s="914">
        <v>-0.375</v>
      </c>
      <c r="F70" s="914">
        <v>-0.375</v>
      </c>
      <c r="G70" s="914">
        <v>-0.25</v>
      </c>
      <c r="H70" s="878">
        <v>-0.25</v>
      </c>
      <c r="K70" s="68"/>
      <c r="L70" s="68"/>
      <c r="M70" s="68"/>
      <c r="N70" s="68"/>
      <c r="O70" s="68"/>
      <c r="P70" s="68"/>
      <c r="Q70" s="68"/>
    </row>
    <row r="71" spans="1:17">
      <c r="A71" s="1367" t="s">
        <v>695</v>
      </c>
      <c r="B71" s="938" t="s">
        <v>11</v>
      </c>
      <c r="C71" s="914">
        <v>-0.875</v>
      </c>
      <c r="D71" s="914">
        <v>-0.875</v>
      </c>
      <c r="E71" s="914">
        <v>-0.875</v>
      </c>
      <c r="F71" s="914">
        <v>-0.875</v>
      </c>
      <c r="G71" s="914">
        <v>-0.87500000000000022</v>
      </c>
      <c r="H71" s="878">
        <v>-0.87500000000000022</v>
      </c>
      <c r="K71" s="68"/>
      <c r="L71" s="68"/>
      <c r="M71" s="68"/>
      <c r="N71" s="68"/>
      <c r="O71" s="68"/>
      <c r="P71" s="68"/>
      <c r="Q71" s="68"/>
    </row>
    <row r="72" spans="1:17">
      <c r="A72" s="1367"/>
      <c r="B72" s="938" t="s">
        <v>101</v>
      </c>
      <c r="C72" s="914">
        <v>-1.0000000000000002</v>
      </c>
      <c r="D72" s="914">
        <v>-1.0000000000000002</v>
      </c>
      <c r="E72" s="914">
        <v>-1</v>
      </c>
      <c r="F72" s="914">
        <v>-1</v>
      </c>
      <c r="G72" s="914">
        <v>-1</v>
      </c>
      <c r="H72" s="878">
        <v>-1</v>
      </c>
      <c r="K72" s="68"/>
      <c r="L72" s="68"/>
      <c r="M72" s="68"/>
      <c r="N72" s="68"/>
      <c r="O72" s="68"/>
      <c r="P72" s="68"/>
      <c r="Q72" s="68"/>
    </row>
    <row r="73" spans="1:17">
      <c r="A73" s="1800" t="s">
        <v>68</v>
      </c>
      <c r="B73" s="1371" t="s">
        <v>69</v>
      </c>
      <c r="C73" s="911">
        <v>-0.25</v>
      </c>
      <c r="D73" s="911">
        <v>-0.25</v>
      </c>
      <c r="E73" s="911">
        <v>-0.25</v>
      </c>
      <c r="F73" s="911">
        <v>-0.25</v>
      </c>
      <c r="G73" s="911">
        <v>-0.25</v>
      </c>
      <c r="H73" s="912">
        <v>-0.5</v>
      </c>
      <c r="K73" s="68"/>
      <c r="L73" s="68"/>
      <c r="M73" s="68"/>
      <c r="N73" s="68"/>
      <c r="O73" s="68"/>
      <c r="P73" s="68"/>
      <c r="Q73" s="68"/>
    </row>
    <row r="74" spans="1:17">
      <c r="A74" s="1801"/>
      <c r="B74" s="1370" t="s">
        <v>508</v>
      </c>
      <c r="C74" s="914">
        <v>-1</v>
      </c>
      <c r="D74" s="914">
        <v>-1</v>
      </c>
      <c r="E74" s="914">
        <v>-1</v>
      </c>
      <c r="F74" s="914">
        <v>-1</v>
      </c>
      <c r="G74" s="914">
        <v>-1</v>
      </c>
      <c r="H74" s="878">
        <v>-1</v>
      </c>
      <c r="K74" s="68"/>
      <c r="L74" s="68"/>
      <c r="M74" s="68"/>
      <c r="N74" s="68"/>
      <c r="O74" s="68"/>
      <c r="P74" s="68"/>
      <c r="Q74" s="68"/>
    </row>
    <row r="75" spans="1:17">
      <c r="A75" s="1802"/>
      <c r="B75" s="1372" t="s">
        <v>700</v>
      </c>
      <c r="C75" s="915">
        <v>-0.25</v>
      </c>
      <c r="D75" s="915">
        <v>-0.25</v>
      </c>
      <c r="E75" s="915">
        <v>-0.25</v>
      </c>
      <c r="F75" s="915">
        <v>-0.25</v>
      </c>
      <c r="G75" s="915">
        <v>-0.25</v>
      </c>
      <c r="H75" s="916">
        <v>-0.25</v>
      </c>
      <c r="K75" s="68"/>
      <c r="O75" s="68"/>
      <c r="P75" s="68"/>
      <c r="Q75" s="68"/>
    </row>
    <row r="76" spans="1:17">
      <c r="A76" s="497" t="s">
        <v>138</v>
      </c>
      <c r="B76" s="936" t="s">
        <v>139</v>
      </c>
      <c r="C76" s="915">
        <v>0</v>
      </c>
      <c r="D76" s="915">
        <v>0</v>
      </c>
      <c r="E76" s="915">
        <v>0</v>
      </c>
      <c r="F76" s="915">
        <v>0</v>
      </c>
      <c r="G76" s="915">
        <v>0</v>
      </c>
      <c r="H76" s="916">
        <v>-0.25</v>
      </c>
      <c r="K76" s="68"/>
      <c r="O76" s="68"/>
      <c r="P76" s="68"/>
      <c r="Q76" s="68"/>
    </row>
  </sheetData>
  <mergeCells count="15">
    <mergeCell ref="A73:A75"/>
    <mergeCell ref="F18:H18"/>
    <mergeCell ref="A41:A43"/>
    <mergeCell ref="A50:A54"/>
    <mergeCell ref="A56:A58"/>
    <mergeCell ref="A44:A45"/>
    <mergeCell ref="A59:A60"/>
    <mergeCell ref="F20:H20"/>
    <mergeCell ref="F21:H21"/>
    <mergeCell ref="A61:A66"/>
    <mergeCell ref="C2:J2"/>
    <mergeCell ref="B7:D7"/>
    <mergeCell ref="F7:G7"/>
    <mergeCell ref="H7:I7"/>
    <mergeCell ref="F17:H17"/>
  </mergeCells>
  <dataValidations disablePrompts="1"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D8795392-23D2-4470-894A-37B46D9186A1}">
          <x14:formula1>
            <xm:f>margins!$D$159:$D$161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margins!$D$150:$D$151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margins!$D$147:$D$148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margins!$D$114:$D$116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margins!$D$118:$D$123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margins!$D$125:$D$126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margins!$D$128:$D$131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margins!$D$133:$D$134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margins!$D$136:$D$137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margins!$D$139:$D$145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margins!$D$153:$D$154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margins!$D$156:$D$157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04" t="s">
        <v>361</v>
      </c>
      <c r="M2" s="2104"/>
      <c r="N2" s="2104"/>
      <c r="O2" s="2105">
        <f ca="1">NOW()</f>
        <v>45978.399704166666</v>
      </c>
      <c r="P2" s="2105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05"/>
      <c r="O3" s="2105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04"/>
      <c r="P4" s="2104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06"/>
      <c r="P5" s="2106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082"/>
      <c r="O6" s="2083"/>
      <c r="P6" s="2083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084"/>
      <c r="O7" s="2084"/>
      <c r="P7" s="2084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084"/>
      <c r="O8" s="2084"/>
      <c r="P8" s="2084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085" t="s">
        <v>369</v>
      </c>
      <c r="B12" s="2086"/>
      <c r="C12" s="2086"/>
      <c r="D12" s="2086"/>
      <c r="E12" s="2086"/>
      <c r="F12" s="2086"/>
      <c r="G12" s="2086"/>
      <c r="H12" s="2086"/>
      <c r="I12" s="2086"/>
      <c r="J12" s="2086"/>
      <c r="K12" s="2086"/>
      <c r="L12" s="2086"/>
      <c r="M12" s="2086"/>
      <c r="N12" s="2086"/>
      <c r="O12" s="2086"/>
      <c r="P12" s="2086"/>
      <c r="Q12" s="2087"/>
    </row>
    <row r="13" spans="1:17" ht="15.75" customHeight="1" thickBot="1">
      <c r="A13" s="2088"/>
      <c r="B13" s="2089"/>
      <c r="C13" s="2089"/>
      <c r="D13" s="2089"/>
      <c r="E13" s="2089"/>
      <c r="F13" s="2089"/>
      <c r="G13" s="2089"/>
      <c r="H13" s="2089"/>
      <c r="I13" s="2089"/>
      <c r="J13" s="2089"/>
      <c r="K13" s="2089"/>
      <c r="L13" s="2089"/>
      <c r="M13" s="2089"/>
      <c r="N13" s="2089"/>
      <c r="O13" s="2089"/>
      <c r="P13" s="2089"/>
      <c r="Q13" s="2090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320" t="s">
        <v>627</v>
      </c>
      <c r="C15" s="1154"/>
      <c r="D15" s="1154"/>
      <c r="E15" s="1154"/>
      <c r="F15" s="1154"/>
      <c r="G15" s="1154"/>
      <c r="H15" s="1154"/>
      <c r="I15" s="1154"/>
      <c r="J15" s="1154"/>
      <c r="K15" s="1154"/>
      <c r="L15" s="1154"/>
      <c r="M15" s="1154"/>
      <c r="N15" s="1154"/>
      <c r="O15" s="1154"/>
      <c r="P15" s="1154"/>
      <c r="Q15" s="1073"/>
    </row>
    <row r="16" spans="1:17" ht="15" customHeight="1">
      <c r="A16" s="1077"/>
      <c r="B16" s="1154"/>
      <c r="C16" s="1154"/>
      <c r="D16" s="1154"/>
      <c r="E16" s="1154"/>
      <c r="F16" s="1154"/>
      <c r="G16" s="1154"/>
      <c r="H16" s="1154"/>
      <c r="I16" s="1154"/>
      <c r="J16" s="2091"/>
      <c r="K16" s="2091"/>
      <c r="L16" s="1154"/>
      <c r="M16" s="1154"/>
      <c r="N16" s="1154"/>
      <c r="O16" s="1154"/>
      <c r="P16" s="1154"/>
      <c r="Q16" s="1073"/>
    </row>
    <row r="17" spans="1:17" ht="15" customHeight="1">
      <c r="A17" s="1077"/>
      <c r="B17" s="1154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321"/>
      <c r="Q17" s="1073"/>
    </row>
    <row r="18" spans="1:17" ht="15" customHeight="1">
      <c r="A18" s="1077"/>
      <c r="B18" s="1154"/>
      <c r="C18" s="1154"/>
      <c r="D18" s="1154"/>
      <c r="E18" s="1154"/>
      <c r="F18" s="1154"/>
      <c r="G18" s="1154"/>
      <c r="H18" s="1154"/>
      <c r="I18" s="1154"/>
      <c r="J18" s="2091"/>
      <c r="K18" s="2091"/>
      <c r="L18" s="1168"/>
      <c r="M18" s="1166"/>
      <c r="N18" s="1161"/>
      <c r="O18" s="1166"/>
      <c r="P18" s="1322"/>
      <c r="Q18" s="1073"/>
    </row>
    <row r="19" spans="1:17" ht="15" customHeight="1">
      <c r="A19" s="1077"/>
      <c r="B19" s="1154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321"/>
      <c r="Q19" s="1073"/>
    </row>
    <row r="20" spans="1:17" ht="15" customHeight="1">
      <c r="A20" s="1077"/>
      <c r="B20" s="1154"/>
      <c r="C20" s="1154"/>
      <c r="D20" s="1154"/>
      <c r="E20" s="1154"/>
      <c r="F20" s="1154"/>
      <c r="G20" s="1154"/>
      <c r="H20" s="1154"/>
      <c r="I20" s="1154"/>
      <c r="J20" s="2091"/>
      <c r="K20" s="2091"/>
      <c r="L20" s="1163"/>
      <c r="M20" s="1166"/>
      <c r="N20" s="1163"/>
      <c r="O20" s="1166"/>
      <c r="P20" s="1322"/>
      <c r="Q20" s="1073"/>
    </row>
    <row r="21" spans="1:17" ht="15" customHeight="1">
      <c r="A21" s="1077"/>
      <c r="B21" s="1154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321"/>
      <c r="Q21" s="1073"/>
    </row>
    <row r="22" spans="1:17" ht="14.25" customHeight="1">
      <c r="A22" s="1077"/>
      <c r="B22" s="1154"/>
      <c r="C22" s="1154"/>
      <c r="D22" s="1154"/>
      <c r="E22" s="1154"/>
      <c r="F22" s="1154"/>
      <c r="G22" s="1154"/>
      <c r="H22" s="1154"/>
      <c r="I22" s="1154"/>
      <c r="J22" s="2091"/>
      <c r="K22" s="2091"/>
      <c r="L22" s="1166"/>
      <c r="M22" s="1166"/>
      <c r="N22" s="1167"/>
      <c r="O22" s="1166"/>
      <c r="P22" s="1322"/>
      <c r="Q22" s="1073"/>
    </row>
    <row r="23" spans="1:17" ht="15" customHeight="1">
      <c r="A23" s="1077"/>
      <c r="B23" s="1154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321"/>
      <c r="Q23" s="1073"/>
    </row>
    <row r="24" spans="1:17" ht="15" customHeight="1">
      <c r="A24" s="1077"/>
      <c r="B24" s="1154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4"/>
      <c r="Q24" s="1073"/>
    </row>
    <row r="25" spans="1:17" ht="15" customHeight="1">
      <c r="A25" s="1077"/>
      <c r="B25" s="1154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4"/>
      <c r="Q25" s="1073"/>
    </row>
    <row r="26" spans="1:17" ht="15" customHeight="1">
      <c r="A26" s="1077"/>
      <c r="B26" s="1154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4"/>
      <c r="Q26" s="1073"/>
    </row>
    <row r="27" spans="1:17" ht="15" customHeight="1">
      <c r="A27" s="1077"/>
      <c r="B27" s="1154"/>
      <c r="C27" s="1154"/>
      <c r="D27" s="1154"/>
      <c r="E27" s="1154"/>
      <c r="F27" s="1154"/>
      <c r="G27" s="1154"/>
      <c r="H27" s="1154"/>
      <c r="I27" s="1154"/>
      <c r="J27" s="1154"/>
      <c r="K27" s="1154"/>
      <c r="L27" s="1154"/>
      <c r="M27" s="1154"/>
      <c r="N27" s="1154"/>
      <c r="O27" s="1154"/>
      <c r="P27" s="1154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094" t="s">
        <v>625</v>
      </c>
      <c r="C29" s="2095"/>
      <c r="D29" s="2095"/>
      <c r="E29" s="2095"/>
      <c r="F29" s="2095"/>
      <c r="G29" s="2095"/>
      <c r="H29" s="2096"/>
      <c r="I29" s="1080"/>
      <c r="J29" s="1757" t="s">
        <v>624</v>
      </c>
      <c r="K29" s="1758"/>
      <c r="L29" s="1758"/>
      <c r="M29" s="1758"/>
      <c r="N29" s="1758"/>
      <c r="O29" s="1758"/>
      <c r="P29" s="1759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14" t="s">
        <v>284</v>
      </c>
      <c r="K30" s="2115"/>
      <c r="L30" s="2115"/>
      <c r="M30" s="2115"/>
      <c r="N30" s="2115"/>
      <c r="O30" s="2115"/>
      <c r="P30" s="2116"/>
      <c r="Q30" s="1073"/>
    </row>
    <row r="31" spans="1:17" ht="20.25" customHeight="1">
      <c r="A31" s="1077"/>
      <c r="B31" s="1152" t="s">
        <v>416</v>
      </c>
      <c r="C31" s="1086"/>
      <c r="D31" s="1086"/>
      <c r="E31" s="1133"/>
      <c r="F31" s="1133"/>
      <c r="G31" s="2092" t="s">
        <v>182</v>
      </c>
      <c r="H31" s="2093"/>
      <c r="I31" s="1080"/>
      <c r="J31" s="2117"/>
      <c r="K31" s="2118"/>
      <c r="L31" s="2118"/>
      <c r="M31" s="2118"/>
      <c r="N31" s="2118"/>
      <c r="O31" s="2118"/>
      <c r="P31" s="2119"/>
      <c r="Q31" s="1073"/>
    </row>
    <row r="32" spans="1:17" ht="19.5" customHeight="1">
      <c r="A32" s="1077"/>
      <c r="B32" s="1152" t="s">
        <v>623</v>
      </c>
      <c r="C32" s="1153"/>
      <c r="D32" s="1086"/>
      <c r="E32" s="1086"/>
      <c r="F32" s="1086"/>
      <c r="G32" s="2092" t="s">
        <v>183</v>
      </c>
      <c r="H32" s="2093"/>
      <c r="I32" s="1080"/>
      <c r="J32" s="2117"/>
      <c r="K32" s="2118"/>
      <c r="L32" s="2118"/>
      <c r="M32" s="2118"/>
      <c r="N32" s="2118"/>
      <c r="O32" s="2118"/>
      <c r="P32" s="2119"/>
      <c r="Q32" s="1073"/>
    </row>
    <row r="33" spans="1:17" ht="20.25" customHeight="1">
      <c r="A33" s="1077"/>
      <c r="B33" s="1152" t="s">
        <v>363</v>
      </c>
      <c r="G33" s="2092" t="s">
        <v>356</v>
      </c>
      <c r="H33" s="2093"/>
      <c r="I33" s="1080"/>
      <c r="J33" s="2117"/>
      <c r="K33" s="2118"/>
      <c r="L33" s="2118"/>
      <c r="M33" s="2118"/>
      <c r="N33" s="2118"/>
      <c r="O33" s="2118"/>
      <c r="P33" s="2119"/>
      <c r="Q33" s="1073"/>
    </row>
    <row r="34" spans="1:17" ht="20.25" customHeight="1">
      <c r="A34" s="1077"/>
      <c r="B34" s="1152"/>
      <c r="C34" s="1105"/>
      <c r="D34" s="1086"/>
      <c r="E34" s="1086"/>
      <c r="F34" s="1086"/>
      <c r="G34" s="2092"/>
      <c r="H34" s="2093"/>
      <c r="I34" s="1080"/>
      <c r="J34" s="2117"/>
      <c r="K34" s="2118"/>
      <c r="L34" s="2118"/>
      <c r="M34" s="2118"/>
      <c r="N34" s="2118"/>
      <c r="O34" s="2118"/>
      <c r="P34" s="2119"/>
      <c r="Q34" s="1073"/>
    </row>
    <row r="35" spans="1:17" ht="20.25" customHeight="1">
      <c r="A35" s="1077"/>
      <c r="B35" s="1100"/>
      <c r="H35" s="1061"/>
      <c r="I35" s="1080"/>
      <c r="J35" s="2117"/>
      <c r="K35" s="2118"/>
      <c r="L35" s="2118"/>
      <c r="M35" s="2118"/>
      <c r="N35" s="2118"/>
      <c r="O35" s="2118"/>
      <c r="P35" s="2119"/>
      <c r="Q35" s="1073"/>
    </row>
    <row r="36" spans="1:17" ht="20.25" customHeight="1">
      <c r="A36" s="1077"/>
      <c r="B36" s="1151"/>
      <c r="C36" s="1150"/>
      <c r="D36" s="1150"/>
      <c r="E36" s="1150"/>
      <c r="F36" s="1150"/>
      <c r="G36" s="1150"/>
      <c r="H36" s="1149"/>
      <c r="I36" s="1080"/>
      <c r="J36" s="2117"/>
      <c r="K36" s="2118"/>
      <c r="L36" s="2118"/>
      <c r="M36" s="2118"/>
      <c r="N36" s="2118"/>
      <c r="O36" s="2118"/>
      <c r="P36" s="2119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17"/>
      <c r="K37" s="2118"/>
      <c r="L37" s="2118"/>
      <c r="M37" s="2118"/>
      <c r="N37" s="2118"/>
      <c r="O37" s="2118"/>
      <c r="P37" s="2119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20"/>
      <c r="K38" s="2121"/>
      <c r="L38" s="2121"/>
      <c r="M38" s="2121"/>
      <c r="N38" s="2121"/>
      <c r="O38" s="2121"/>
      <c r="P38" s="2122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097" t="s">
        <v>622</v>
      </c>
      <c r="C40" s="2098"/>
      <c r="D40" s="2098"/>
      <c r="E40" s="2098"/>
      <c r="F40" s="2098"/>
      <c r="G40" s="2098"/>
      <c r="H40" s="2099"/>
      <c r="I40" s="1080"/>
      <c r="J40" s="2085" t="s">
        <v>621</v>
      </c>
      <c r="K40" s="2086"/>
      <c r="L40" s="2086"/>
      <c r="M40" s="2086"/>
      <c r="N40" s="2086"/>
      <c r="O40" s="2086"/>
      <c r="P40" s="2087"/>
      <c r="Q40" s="1073"/>
    </row>
    <row r="41" spans="1:17" ht="20.25">
      <c r="A41" s="1077"/>
      <c r="B41" s="2107" t="s">
        <v>620</v>
      </c>
      <c r="C41" s="2108"/>
      <c r="D41" s="2108"/>
      <c r="E41" s="1137"/>
      <c r="F41" s="2109">
        <v>1995</v>
      </c>
      <c r="G41" s="2109"/>
      <c r="H41" s="2110"/>
      <c r="I41" s="1080"/>
      <c r="J41" s="2111" t="s">
        <v>619</v>
      </c>
      <c r="K41" s="2112"/>
      <c r="L41" s="2112"/>
      <c r="M41" s="2112"/>
      <c r="N41" s="2112"/>
      <c r="O41" s="2112"/>
      <c r="P41" s="2113"/>
      <c r="Q41" s="1073"/>
    </row>
    <row r="42" spans="1:17" ht="20.25">
      <c r="A42" s="1077"/>
      <c r="B42" s="2100" t="s">
        <v>618</v>
      </c>
      <c r="C42" s="2101"/>
      <c r="D42" s="2101"/>
      <c r="E42" s="1122"/>
      <c r="F42" s="2102">
        <v>599</v>
      </c>
      <c r="G42" s="2102"/>
      <c r="H42" s="2103"/>
      <c r="I42" s="1080"/>
      <c r="J42" s="1100"/>
      <c r="P42" s="1061"/>
      <c r="Q42" s="1073"/>
    </row>
    <row r="43" spans="1:17" ht="20.25">
      <c r="A43" s="1077"/>
      <c r="B43" s="1115"/>
      <c r="C43" s="1109"/>
      <c r="D43" s="1136"/>
      <c r="E43" s="1136"/>
      <c r="F43" s="1135"/>
      <c r="G43" s="1135"/>
      <c r="H43" s="1119"/>
      <c r="I43" s="1080"/>
      <c r="J43" s="2125" t="s">
        <v>617</v>
      </c>
      <c r="K43" s="2126"/>
      <c r="L43" s="2126"/>
      <c r="M43" s="2126"/>
      <c r="N43" s="2126"/>
      <c r="O43" s="2126"/>
      <c r="P43" s="2127"/>
      <c r="Q43" s="1073"/>
    </row>
    <row r="44" spans="1:17" ht="20.25">
      <c r="A44" s="1077"/>
      <c r="B44" s="2123" t="s">
        <v>616</v>
      </c>
      <c r="C44" s="2092"/>
      <c r="D44" s="2092"/>
      <c r="E44" s="2092"/>
      <c r="F44" s="2092"/>
      <c r="G44" s="2092"/>
      <c r="H44" s="2093"/>
      <c r="I44" s="1080"/>
      <c r="J44" s="2128" t="s">
        <v>615</v>
      </c>
      <c r="K44" s="2129"/>
      <c r="L44" s="2129"/>
      <c r="M44" s="2129"/>
      <c r="N44" s="2129"/>
      <c r="O44" s="2129"/>
      <c r="P44" s="2130"/>
      <c r="Q44" s="1073"/>
    </row>
    <row r="45" spans="1:17" ht="20.25">
      <c r="A45" s="1077"/>
      <c r="B45" s="2131" t="s">
        <v>614</v>
      </c>
      <c r="C45" s="2132"/>
      <c r="D45" s="2132"/>
      <c r="E45" s="2132"/>
      <c r="F45" s="2132"/>
      <c r="G45" s="2132"/>
      <c r="H45" s="2133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097" t="s">
        <v>613</v>
      </c>
      <c r="C49" s="2098"/>
      <c r="D49" s="2098"/>
      <c r="E49" s="2098"/>
      <c r="F49" s="2098"/>
      <c r="G49" s="2098"/>
      <c r="H49" s="2099"/>
      <c r="J49" s="1100"/>
      <c r="P49" s="1061"/>
      <c r="Q49" s="1073"/>
    </row>
    <row r="50" spans="1:17" ht="19.5" customHeight="1">
      <c r="A50" s="1077"/>
      <c r="B50" s="2134" t="s">
        <v>612</v>
      </c>
      <c r="C50" s="2135"/>
      <c r="D50" s="2135"/>
      <c r="E50" s="2135"/>
      <c r="F50" s="2135"/>
      <c r="G50" s="2135"/>
      <c r="H50" s="2136"/>
      <c r="J50" s="1100"/>
      <c r="P50" s="1061"/>
      <c r="Q50" s="1073"/>
    </row>
    <row r="51" spans="1:17" ht="19.5" customHeight="1">
      <c r="A51" s="1077"/>
      <c r="B51" s="2134" t="s">
        <v>611</v>
      </c>
      <c r="C51" s="2135"/>
      <c r="D51" s="2135"/>
      <c r="E51" s="2135"/>
      <c r="F51" s="2135"/>
      <c r="G51" s="2135"/>
      <c r="H51" s="2136"/>
      <c r="J51" s="1100"/>
      <c r="P51" s="1061"/>
      <c r="Q51" s="1073"/>
    </row>
    <row r="52" spans="1:17" ht="20.25">
      <c r="A52" s="1077"/>
      <c r="B52" s="2123" t="s">
        <v>610</v>
      </c>
      <c r="C52" s="2092"/>
      <c r="D52" s="1121"/>
      <c r="E52" s="1121"/>
      <c r="F52" s="2124">
        <v>-0.125</v>
      </c>
      <c r="G52" s="2124"/>
      <c r="H52" s="1119"/>
      <c r="J52" s="1100"/>
      <c r="P52" s="1061"/>
      <c r="Q52" s="1073"/>
    </row>
    <row r="53" spans="1:17" ht="20.25">
      <c r="A53" s="1077"/>
      <c r="B53" s="2123" t="s">
        <v>609</v>
      </c>
      <c r="C53" s="2092"/>
      <c r="D53" s="1121"/>
      <c r="E53" s="1121"/>
      <c r="F53" s="2124">
        <v>-0.25</v>
      </c>
      <c r="G53" s="2124"/>
      <c r="H53" s="1119"/>
      <c r="J53" s="1100"/>
      <c r="P53" s="1061"/>
      <c r="Q53" s="1073"/>
    </row>
    <row r="54" spans="1:17" ht="20.25">
      <c r="A54" s="1077"/>
      <c r="B54" s="2123" t="s">
        <v>608</v>
      </c>
      <c r="C54" s="2092"/>
      <c r="D54" s="1121"/>
      <c r="E54" s="1121"/>
      <c r="F54" s="2124">
        <v>-0.375</v>
      </c>
      <c r="G54" s="2124"/>
      <c r="H54" s="1119"/>
      <c r="J54" s="1100"/>
      <c r="P54" s="1061"/>
      <c r="Q54" s="1073"/>
    </row>
    <row r="55" spans="1:17" ht="20.25">
      <c r="A55" s="1077"/>
      <c r="B55" s="2123" t="s">
        <v>607</v>
      </c>
      <c r="C55" s="2092"/>
      <c r="D55" s="1080"/>
      <c r="E55" s="1080"/>
      <c r="F55" s="2124">
        <v>-0.5</v>
      </c>
      <c r="G55" s="2124"/>
      <c r="H55" s="1119"/>
      <c r="J55" s="1100"/>
      <c r="P55" s="1061"/>
      <c r="Q55" s="1073"/>
    </row>
    <row r="56" spans="1:17" ht="20.25" customHeight="1" thickBot="1">
      <c r="A56" s="1077"/>
      <c r="B56" s="2144" t="s">
        <v>31</v>
      </c>
      <c r="C56" s="2145"/>
      <c r="D56" s="2145"/>
      <c r="E56" s="2145"/>
      <c r="F56" s="2145"/>
      <c r="G56" s="2145"/>
      <c r="H56" s="2146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097" t="s">
        <v>186</v>
      </c>
      <c r="C59" s="2098"/>
      <c r="D59" s="2098"/>
      <c r="E59" s="2098"/>
      <c r="F59" s="2098"/>
      <c r="G59" s="2098"/>
      <c r="H59" s="2098"/>
      <c r="I59" s="2098"/>
      <c r="J59" s="2098"/>
      <c r="K59" s="2098"/>
      <c r="L59" s="2098"/>
      <c r="M59" s="2098"/>
      <c r="N59" s="2098"/>
      <c r="O59" s="2098"/>
      <c r="P59" s="2099"/>
      <c r="Q59" s="1073"/>
    </row>
    <row r="60" spans="1:17" ht="20.25" customHeight="1">
      <c r="A60" s="1077"/>
      <c r="B60" s="2107" t="s">
        <v>187</v>
      </c>
      <c r="C60" s="2108"/>
      <c r="D60" s="2108"/>
      <c r="E60" s="2108"/>
      <c r="F60" s="2108"/>
      <c r="G60" s="2108"/>
      <c r="H60" s="2108"/>
      <c r="I60" s="2108"/>
      <c r="J60" s="2108"/>
      <c r="K60" s="2108"/>
      <c r="L60" s="2108"/>
      <c r="M60" s="2108"/>
      <c r="N60" s="2108"/>
      <c r="O60" s="2108"/>
      <c r="P60" s="2137"/>
      <c r="Q60" s="1073"/>
    </row>
    <row r="61" spans="1:17" ht="20.25" customHeight="1">
      <c r="A61" s="1077"/>
      <c r="B61" s="2123" t="s">
        <v>382</v>
      </c>
      <c r="C61" s="2092"/>
      <c r="D61" s="2092"/>
      <c r="E61" s="2092"/>
      <c r="F61" s="2092"/>
      <c r="G61" s="2092"/>
      <c r="H61" s="2092"/>
      <c r="I61" s="2092"/>
      <c r="J61" s="2092"/>
      <c r="K61" s="2092"/>
      <c r="L61" s="2092"/>
      <c r="M61" s="2092"/>
      <c r="N61" s="2092"/>
      <c r="O61" s="2092"/>
      <c r="P61" s="2093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10"/>
      <c r="H62" s="1110"/>
      <c r="I62" s="1109"/>
      <c r="J62" s="1114"/>
      <c r="K62" s="1114"/>
      <c r="L62" s="1114"/>
      <c r="M62" s="1114"/>
      <c r="N62" s="1114"/>
      <c r="O62" s="1114"/>
      <c r="P62" s="111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10"/>
      <c r="H63" s="1110"/>
      <c r="I63" s="1109"/>
      <c r="J63" s="1108"/>
      <c r="K63" s="1108"/>
      <c r="L63" s="1108"/>
      <c r="M63" s="1108"/>
      <c r="N63" s="1108"/>
      <c r="O63" s="1108"/>
      <c r="P63" s="110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57" t="s">
        <v>606</v>
      </c>
      <c r="C86" s="1758"/>
      <c r="D86" s="1758"/>
      <c r="E86" s="1758"/>
      <c r="F86" s="1758"/>
      <c r="G86" s="1758"/>
      <c r="H86" s="1758"/>
      <c r="I86" s="1758"/>
      <c r="J86" s="1758"/>
      <c r="K86" s="1758"/>
      <c r="L86" s="1758"/>
      <c r="M86" s="1758"/>
      <c r="N86" s="1758"/>
      <c r="O86" s="1758"/>
      <c r="P86" s="1759"/>
      <c r="Q86" s="1070"/>
    </row>
    <row r="87" spans="1:17" s="1057" customFormat="1" ht="15.75" thickBot="1">
      <c r="A87" s="1063"/>
      <c r="B87" s="1760"/>
      <c r="C87" s="1761"/>
      <c r="D87" s="1761"/>
      <c r="E87" s="1761"/>
      <c r="F87" s="1761"/>
      <c r="G87" s="1761"/>
      <c r="H87" s="1761"/>
      <c r="I87" s="1761"/>
      <c r="J87" s="1761"/>
      <c r="K87" s="1761"/>
      <c r="L87" s="1761"/>
      <c r="M87" s="1761"/>
      <c r="N87" s="1761"/>
      <c r="O87" s="1761"/>
      <c r="P87" s="1762"/>
      <c r="Q87" s="1070"/>
    </row>
    <row r="88" spans="1:17" s="1057" customFormat="1" ht="21" customHeight="1">
      <c r="A88" s="1063"/>
      <c r="B88" s="2107" t="s">
        <v>190</v>
      </c>
      <c r="C88" s="2108"/>
      <c r="D88" s="2108"/>
      <c r="E88" s="2108"/>
      <c r="F88" s="2108"/>
      <c r="G88" s="2108"/>
      <c r="H88" s="2108"/>
      <c r="I88" s="2108"/>
      <c r="J88" s="2108"/>
      <c r="K88" s="2108"/>
      <c r="L88" s="2108"/>
      <c r="M88" s="2108"/>
      <c r="N88" s="2108"/>
      <c r="O88" s="2108"/>
      <c r="P88" s="2137"/>
      <c r="Q88" s="1070"/>
    </row>
    <row r="89" spans="1:17" s="1057" customFormat="1" ht="21" customHeight="1" thickBot="1">
      <c r="A89" s="1063"/>
      <c r="B89" s="2138" t="s">
        <v>191</v>
      </c>
      <c r="C89" s="2139"/>
      <c r="D89" s="2139"/>
      <c r="E89" s="2139"/>
      <c r="F89" s="2139"/>
      <c r="G89" s="2139"/>
      <c r="H89" s="2139"/>
      <c r="I89" s="2139"/>
      <c r="J89" s="2139"/>
      <c r="K89" s="2139"/>
      <c r="L89" s="2139"/>
      <c r="M89" s="2139"/>
      <c r="N89" s="2139"/>
      <c r="O89" s="2139"/>
      <c r="P89" s="2140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141" t="s">
        <v>192</v>
      </c>
      <c r="C99" s="2141"/>
      <c r="D99" s="2141"/>
      <c r="E99" s="2141"/>
      <c r="F99" s="2141"/>
      <c r="G99" s="2141"/>
      <c r="H99" s="2141"/>
      <c r="I99" s="2141"/>
      <c r="J99" s="2141"/>
      <c r="K99" s="2141"/>
      <c r="L99" s="2141"/>
      <c r="M99" s="2141"/>
      <c r="N99" s="2141"/>
      <c r="O99" s="2141"/>
      <c r="P99" s="2141"/>
      <c r="Q99" s="1064"/>
    </row>
    <row r="100" spans="1:17">
      <c r="A100" s="1063"/>
      <c r="B100" s="2142"/>
      <c r="C100" s="2142"/>
      <c r="D100" s="2142"/>
      <c r="E100" s="2142"/>
      <c r="F100" s="2142"/>
      <c r="G100" s="2142"/>
      <c r="H100" s="2142"/>
      <c r="I100" s="2142"/>
      <c r="J100" s="2142"/>
      <c r="K100" s="2142"/>
      <c r="L100" s="2142"/>
      <c r="M100" s="2142"/>
      <c r="N100" s="2142"/>
      <c r="O100" s="2142"/>
      <c r="P100" s="2142"/>
      <c r="Q100" s="1061"/>
    </row>
    <row r="101" spans="1:17">
      <c r="A101" s="1063"/>
      <c r="B101" s="2142"/>
      <c r="C101" s="2142"/>
      <c r="D101" s="2142"/>
      <c r="E101" s="2142"/>
      <c r="F101" s="2142"/>
      <c r="G101" s="2142"/>
      <c r="H101" s="2142"/>
      <c r="I101" s="2142"/>
      <c r="J101" s="2142"/>
      <c r="K101" s="2142"/>
      <c r="L101" s="2142"/>
      <c r="M101" s="2142"/>
      <c r="N101" s="2142"/>
      <c r="O101" s="2142"/>
      <c r="P101" s="2142"/>
      <c r="Q101" s="1061"/>
    </row>
    <row r="102" spans="1:17" ht="15.75" thickBot="1">
      <c r="A102" s="1060"/>
      <c r="B102" s="2143"/>
      <c r="C102" s="2143"/>
      <c r="D102" s="2143"/>
      <c r="E102" s="2143"/>
      <c r="F102" s="2143"/>
      <c r="G102" s="2143"/>
      <c r="H102" s="2143"/>
      <c r="I102" s="2143"/>
      <c r="J102" s="2143"/>
      <c r="K102" s="2143"/>
      <c r="L102" s="2143"/>
      <c r="M102" s="2143"/>
      <c r="N102" s="2143"/>
      <c r="O102" s="2143"/>
      <c r="P102" s="2143"/>
      <c r="Q102" s="1059"/>
    </row>
  </sheetData>
  <mergeCells count="49"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G32:H32"/>
    <mergeCell ref="G33:H33"/>
    <mergeCell ref="G34:H34"/>
    <mergeCell ref="B29:H29"/>
    <mergeCell ref="B40:H40"/>
    <mergeCell ref="N6:P6"/>
    <mergeCell ref="N7:P8"/>
    <mergeCell ref="A12:Q13"/>
    <mergeCell ref="J16:K16"/>
    <mergeCell ref="J18:K18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04" t="s">
        <v>361</v>
      </c>
      <c r="M2" s="2104"/>
      <c r="N2" s="2104"/>
      <c r="O2" s="2105">
        <f ca="1">NOW()</f>
        <v>45978.399704166666</v>
      </c>
      <c r="P2" s="2105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05"/>
      <c r="O3" s="2105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04"/>
      <c r="P4" s="2104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06"/>
      <c r="P5" s="2106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082"/>
      <c r="O6" s="2083"/>
      <c r="P6" s="2083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084"/>
      <c r="O7" s="2084"/>
      <c r="P7" s="2084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084"/>
      <c r="O8" s="2084"/>
      <c r="P8" s="2084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085" t="s">
        <v>666</v>
      </c>
      <c r="B12" s="2086"/>
      <c r="C12" s="2086"/>
      <c r="D12" s="2086"/>
      <c r="E12" s="2086"/>
      <c r="F12" s="2086"/>
      <c r="G12" s="2086"/>
      <c r="H12" s="2086"/>
      <c r="I12" s="2086"/>
      <c r="J12" s="2086"/>
      <c r="K12" s="2086"/>
      <c r="L12" s="2086"/>
      <c r="M12" s="2086"/>
      <c r="N12" s="2086"/>
      <c r="O12" s="2086"/>
      <c r="P12" s="2086"/>
      <c r="Q12" s="2087"/>
    </row>
    <row r="13" spans="1:17" ht="15.75" customHeight="1" thickBot="1">
      <c r="A13" s="2088"/>
      <c r="B13" s="2089"/>
      <c r="C13" s="2089"/>
      <c r="D13" s="2089"/>
      <c r="E13" s="2089"/>
      <c r="F13" s="2089"/>
      <c r="G13" s="2089"/>
      <c r="H13" s="2089"/>
      <c r="I13" s="2089"/>
      <c r="J13" s="2089"/>
      <c r="K13" s="2089"/>
      <c r="L13" s="2089"/>
      <c r="M13" s="2089"/>
      <c r="N13" s="2089"/>
      <c r="O13" s="2089"/>
      <c r="P13" s="2089"/>
      <c r="Q13" s="2090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171" t="s">
        <v>627</v>
      </c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69"/>
      <c r="Q15" s="1073"/>
    </row>
    <row r="16" spans="1:17" ht="15" customHeight="1">
      <c r="A16" s="1077"/>
      <c r="B16" s="1159"/>
      <c r="C16" s="1154"/>
      <c r="D16" s="1154"/>
      <c r="E16" s="1154"/>
      <c r="F16" s="1154"/>
      <c r="G16" s="1154"/>
      <c r="H16" s="1154"/>
      <c r="I16" s="1154"/>
      <c r="J16" s="2091"/>
      <c r="K16" s="2091"/>
      <c r="L16" s="1154"/>
      <c r="M16" s="1154"/>
      <c r="N16" s="1154"/>
      <c r="O16" s="1154"/>
      <c r="P16" s="1158"/>
      <c r="Q16" s="1073"/>
    </row>
    <row r="17" spans="1:17" ht="15" customHeight="1">
      <c r="A17" s="1077"/>
      <c r="B17" s="1159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160"/>
      <c r="Q17" s="1073"/>
    </row>
    <row r="18" spans="1:17" ht="15" customHeight="1">
      <c r="A18" s="1077"/>
      <c r="B18" s="1159"/>
      <c r="C18" s="1154"/>
      <c r="D18" s="1154"/>
      <c r="E18" s="1154"/>
      <c r="F18" s="1154"/>
      <c r="G18" s="1154"/>
      <c r="H18" s="1154"/>
      <c r="I18" s="1154"/>
      <c r="J18" s="2091"/>
      <c r="K18" s="2091"/>
      <c r="L18" s="1168"/>
      <c r="M18" s="1166"/>
      <c r="N18" s="1161"/>
      <c r="O18" s="1166"/>
      <c r="P18" s="1165"/>
      <c r="Q18" s="1073"/>
    </row>
    <row r="19" spans="1:17" ht="15" customHeight="1">
      <c r="A19" s="1077"/>
      <c r="B19" s="1159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160"/>
      <c r="Q19" s="1073"/>
    </row>
    <row r="20" spans="1:17" ht="15" customHeight="1">
      <c r="A20" s="1077"/>
      <c r="B20" s="1159"/>
      <c r="C20" s="1154"/>
      <c r="D20" s="1154"/>
      <c r="E20" s="1154"/>
      <c r="F20" s="1154"/>
      <c r="G20" s="1154"/>
      <c r="H20" s="1154"/>
      <c r="I20" s="1154"/>
      <c r="J20" s="2091"/>
      <c r="K20" s="2091"/>
      <c r="L20" s="1163"/>
      <c r="M20" s="1166"/>
      <c r="N20" s="1163"/>
      <c r="O20" s="1166"/>
      <c r="P20" s="1165"/>
      <c r="Q20" s="1073"/>
    </row>
    <row r="21" spans="1:17" ht="15" customHeight="1">
      <c r="A21" s="1077"/>
      <c r="B21" s="1159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160"/>
      <c r="Q21" s="1073"/>
    </row>
    <row r="22" spans="1:17" ht="14.25" customHeight="1">
      <c r="A22" s="1077"/>
      <c r="B22" s="1159"/>
      <c r="C22" s="1154"/>
      <c r="D22" s="1154"/>
      <c r="E22" s="1154"/>
      <c r="F22" s="1154"/>
      <c r="G22" s="1154"/>
      <c r="H22" s="1154"/>
      <c r="I22" s="1154"/>
      <c r="J22" s="2091"/>
      <c r="K22" s="2091"/>
      <c r="L22" s="1166"/>
      <c r="M22" s="1166"/>
      <c r="N22" s="1167"/>
      <c r="O22" s="1166"/>
      <c r="P22" s="1165"/>
      <c r="Q22" s="1073"/>
    </row>
    <row r="23" spans="1:17" ht="15" customHeight="1">
      <c r="A23" s="1077"/>
      <c r="B23" s="1159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160"/>
      <c r="Q23" s="1073"/>
    </row>
    <row r="24" spans="1:17" ht="15" customHeight="1">
      <c r="A24" s="1077"/>
      <c r="B24" s="1159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8"/>
      <c r="Q24" s="1073"/>
    </row>
    <row r="25" spans="1:17" ht="15" customHeight="1">
      <c r="A25" s="1077"/>
      <c r="B25" s="1159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8"/>
      <c r="Q25" s="1073"/>
    </row>
    <row r="26" spans="1:17" ht="15" customHeight="1">
      <c r="A26" s="1077"/>
      <c r="B26" s="1159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8"/>
      <c r="Q26" s="1073"/>
    </row>
    <row r="27" spans="1:17" ht="15" customHeight="1">
      <c r="A27" s="1077"/>
      <c r="B27" s="1157"/>
      <c r="C27" s="1156"/>
      <c r="D27" s="1156"/>
      <c r="E27" s="1156"/>
      <c r="F27" s="1156"/>
      <c r="G27" s="1156"/>
      <c r="H27" s="1156"/>
      <c r="I27" s="1156"/>
      <c r="J27" s="1156"/>
      <c r="K27" s="1156"/>
      <c r="L27" s="1156"/>
      <c r="M27" s="1156"/>
      <c r="N27" s="1156"/>
      <c r="O27" s="1156"/>
      <c r="P27" s="1155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094" t="s">
        <v>625</v>
      </c>
      <c r="C29" s="2095"/>
      <c r="D29" s="2095"/>
      <c r="E29" s="2095"/>
      <c r="F29" s="2095"/>
      <c r="G29" s="2095"/>
      <c r="H29" s="2096"/>
      <c r="I29" s="1080"/>
      <c r="J29" s="1757" t="s">
        <v>624</v>
      </c>
      <c r="K29" s="1758"/>
      <c r="L29" s="1758"/>
      <c r="M29" s="1758"/>
      <c r="N29" s="1758"/>
      <c r="O29" s="1758"/>
      <c r="P29" s="1759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14" t="s">
        <v>284</v>
      </c>
      <c r="K30" s="2115"/>
      <c r="L30" s="2115"/>
      <c r="M30" s="2115"/>
      <c r="N30" s="2115"/>
      <c r="O30" s="2115"/>
      <c r="P30" s="2116"/>
      <c r="Q30" s="1073"/>
    </row>
    <row r="31" spans="1:17" ht="20.25" customHeight="1">
      <c r="A31" s="1077"/>
      <c r="B31" s="1152" t="s">
        <v>351</v>
      </c>
      <c r="C31" s="1086"/>
      <c r="D31" s="1086"/>
      <c r="E31" s="1133"/>
      <c r="F31" s="1133"/>
      <c r="G31" s="2092" t="s">
        <v>182</v>
      </c>
      <c r="H31" s="2093"/>
      <c r="I31" s="1080"/>
      <c r="J31" s="2117"/>
      <c r="K31" s="2118"/>
      <c r="L31" s="2118"/>
      <c r="M31" s="2118"/>
      <c r="N31" s="2118"/>
      <c r="O31" s="2118"/>
      <c r="P31" s="2119"/>
      <c r="Q31" s="1073"/>
    </row>
    <row r="32" spans="1:17" ht="19.5" customHeight="1">
      <c r="A32" s="1077"/>
      <c r="B32" s="1152" t="s">
        <v>365</v>
      </c>
      <c r="C32" s="1153"/>
      <c r="D32" s="1086"/>
      <c r="E32" s="1086"/>
      <c r="F32" s="1086"/>
      <c r="G32" s="2092" t="s">
        <v>183</v>
      </c>
      <c r="H32" s="2093"/>
      <c r="I32" s="1080"/>
      <c r="J32" s="2117"/>
      <c r="K32" s="2118"/>
      <c r="L32" s="2118"/>
      <c r="M32" s="2118"/>
      <c r="N32" s="2118"/>
      <c r="O32" s="2118"/>
      <c r="P32" s="2119"/>
      <c r="Q32" s="1073"/>
    </row>
    <row r="33" spans="1:17" ht="20.25" customHeight="1">
      <c r="A33" s="1077"/>
      <c r="B33" s="1100"/>
      <c r="G33" s="2092"/>
      <c r="H33" s="2093"/>
      <c r="I33" s="1080"/>
      <c r="J33" s="2117"/>
      <c r="K33" s="2118"/>
      <c r="L33" s="2118"/>
      <c r="M33" s="2118"/>
      <c r="N33" s="2118"/>
      <c r="O33" s="2118"/>
      <c r="P33" s="2119"/>
      <c r="Q33" s="1073"/>
    </row>
    <row r="34" spans="1:17" ht="20.25" customHeight="1">
      <c r="A34" s="1077"/>
      <c r="B34" s="1152"/>
      <c r="C34" s="1105"/>
      <c r="D34" s="1086"/>
      <c r="E34" s="1086"/>
      <c r="F34" s="1086"/>
      <c r="G34" s="2092"/>
      <c r="H34" s="2093"/>
      <c r="I34" s="1080"/>
      <c r="J34" s="2117"/>
      <c r="K34" s="2118"/>
      <c r="L34" s="2118"/>
      <c r="M34" s="2118"/>
      <c r="N34" s="2118"/>
      <c r="O34" s="2118"/>
      <c r="P34" s="2119"/>
      <c r="Q34" s="1073"/>
    </row>
    <row r="35" spans="1:17" ht="20.25" customHeight="1">
      <c r="A35" s="1077"/>
      <c r="B35" s="1100"/>
      <c r="H35" s="1061"/>
      <c r="I35" s="1080"/>
      <c r="J35" s="2117"/>
      <c r="K35" s="2118"/>
      <c r="L35" s="2118"/>
      <c r="M35" s="2118"/>
      <c r="N35" s="2118"/>
      <c r="O35" s="2118"/>
      <c r="P35" s="2119"/>
      <c r="Q35" s="1073"/>
    </row>
    <row r="36" spans="1:17" ht="20.25" customHeight="1">
      <c r="A36" s="1077"/>
      <c r="B36" s="2147"/>
      <c r="C36" s="2148"/>
      <c r="D36" s="2148"/>
      <c r="E36" s="2148"/>
      <c r="F36" s="2148"/>
      <c r="G36" s="2148"/>
      <c r="H36" s="2149"/>
      <c r="I36" s="1080"/>
      <c r="J36" s="2117"/>
      <c r="K36" s="2118"/>
      <c r="L36" s="2118"/>
      <c r="M36" s="2118"/>
      <c r="N36" s="2118"/>
      <c r="O36" s="2118"/>
      <c r="P36" s="2119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17"/>
      <c r="K37" s="2118"/>
      <c r="L37" s="2118"/>
      <c r="M37" s="2118"/>
      <c r="N37" s="2118"/>
      <c r="O37" s="2118"/>
      <c r="P37" s="2119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20"/>
      <c r="K38" s="2121"/>
      <c r="L38" s="2121"/>
      <c r="M38" s="2121"/>
      <c r="N38" s="2121"/>
      <c r="O38" s="2121"/>
      <c r="P38" s="2122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097" t="s">
        <v>622</v>
      </c>
      <c r="C40" s="2098"/>
      <c r="D40" s="2098"/>
      <c r="E40" s="2098"/>
      <c r="F40" s="2098"/>
      <c r="G40" s="2098"/>
      <c r="H40" s="2099"/>
      <c r="I40" s="1080"/>
      <c r="J40" s="2085" t="s">
        <v>621</v>
      </c>
      <c r="K40" s="2086"/>
      <c r="L40" s="2086"/>
      <c r="M40" s="2086"/>
      <c r="N40" s="2086"/>
      <c r="O40" s="2086"/>
      <c r="P40" s="2087"/>
      <c r="Q40" s="1073"/>
    </row>
    <row r="41" spans="1:17" ht="20.25">
      <c r="A41" s="1077"/>
      <c r="B41" s="2107" t="s">
        <v>620</v>
      </c>
      <c r="C41" s="2108"/>
      <c r="D41" s="2108"/>
      <c r="E41" s="1137"/>
      <c r="F41" s="2109">
        <v>1995</v>
      </c>
      <c r="G41" s="2109"/>
      <c r="H41" s="2110"/>
      <c r="I41" s="1080"/>
      <c r="J41" s="2111" t="s">
        <v>619</v>
      </c>
      <c r="K41" s="2112"/>
      <c r="L41" s="2112"/>
      <c r="M41" s="2112"/>
      <c r="N41" s="2112"/>
      <c r="O41" s="2112"/>
      <c r="P41" s="2113"/>
      <c r="Q41" s="1073"/>
    </row>
    <row r="42" spans="1:17" ht="20.25">
      <c r="A42" s="1077"/>
      <c r="B42" s="2100" t="s">
        <v>618</v>
      </c>
      <c r="C42" s="2101"/>
      <c r="D42" s="2101"/>
      <c r="E42" s="1122"/>
      <c r="F42" s="2102">
        <v>599</v>
      </c>
      <c r="G42" s="2102"/>
      <c r="H42" s="2103"/>
      <c r="I42" s="1080"/>
      <c r="J42" s="1100"/>
      <c r="P42" s="1061"/>
      <c r="Q42" s="1073"/>
    </row>
    <row r="43" spans="1:17" ht="20.25">
      <c r="A43" s="1077"/>
      <c r="B43" s="2123" t="s">
        <v>664</v>
      </c>
      <c r="C43" s="2092"/>
      <c r="D43" s="2092"/>
      <c r="E43" s="1136"/>
      <c r="F43" s="2102">
        <v>575</v>
      </c>
      <c r="G43" s="2102"/>
      <c r="H43" s="2103"/>
      <c r="I43" s="1080"/>
      <c r="J43" s="2150" t="s">
        <v>617</v>
      </c>
      <c r="K43" s="2151"/>
      <c r="L43" s="2151"/>
      <c r="M43" s="2151"/>
      <c r="N43" s="2151"/>
      <c r="O43" s="2151"/>
      <c r="P43" s="2152"/>
      <c r="Q43" s="1073"/>
    </row>
    <row r="44" spans="1:17" ht="20.25">
      <c r="A44" s="1077"/>
      <c r="B44" s="2123" t="s">
        <v>616</v>
      </c>
      <c r="C44" s="2092"/>
      <c r="D44" s="2092"/>
      <c r="E44" s="2092"/>
      <c r="F44" s="2092"/>
      <c r="G44" s="2092"/>
      <c r="H44" s="2093"/>
      <c r="I44" s="1080"/>
      <c r="J44" s="2153" t="s">
        <v>615</v>
      </c>
      <c r="K44" s="2154"/>
      <c r="L44" s="2154"/>
      <c r="M44" s="2154"/>
      <c r="N44" s="2154"/>
      <c r="O44" s="2154"/>
      <c r="P44" s="2155"/>
      <c r="Q44" s="1073"/>
    </row>
    <row r="45" spans="1:17" ht="20.25">
      <c r="A45" s="1077"/>
      <c r="B45" s="2131" t="s">
        <v>614</v>
      </c>
      <c r="C45" s="2132"/>
      <c r="D45" s="2132"/>
      <c r="E45" s="2132"/>
      <c r="F45" s="2132"/>
      <c r="G45" s="2132"/>
      <c r="H45" s="2133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097" t="s">
        <v>613</v>
      </c>
      <c r="C49" s="2098"/>
      <c r="D49" s="2098"/>
      <c r="E49" s="2098"/>
      <c r="F49" s="2098"/>
      <c r="G49" s="2098"/>
      <c r="H49" s="2099"/>
      <c r="J49" s="1100"/>
      <c r="P49" s="1061"/>
      <c r="Q49" s="1073"/>
    </row>
    <row r="50" spans="1:17" ht="19.5" customHeight="1">
      <c r="A50" s="1077"/>
      <c r="B50" s="2134" t="s">
        <v>612</v>
      </c>
      <c r="C50" s="2135"/>
      <c r="D50" s="2135"/>
      <c r="E50" s="2135"/>
      <c r="F50" s="2135"/>
      <c r="G50" s="2135"/>
      <c r="H50" s="2136"/>
      <c r="J50" s="1100"/>
      <c r="P50" s="1061"/>
      <c r="Q50" s="1073"/>
    </row>
    <row r="51" spans="1:17" ht="19.5" customHeight="1">
      <c r="A51" s="1077"/>
      <c r="B51" s="2134" t="s">
        <v>611</v>
      </c>
      <c r="C51" s="2135"/>
      <c r="D51" s="2135"/>
      <c r="E51" s="2135"/>
      <c r="F51" s="2135"/>
      <c r="G51" s="2135"/>
      <c r="H51" s="2136"/>
      <c r="J51" s="1100"/>
      <c r="P51" s="1061"/>
      <c r="Q51" s="1073"/>
    </row>
    <row r="52" spans="1:17" ht="20.25">
      <c r="A52" s="1077"/>
      <c r="B52" s="2123" t="s">
        <v>610</v>
      </c>
      <c r="C52" s="2092"/>
      <c r="D52" s="1121"/>
      <c r="E52" s="1121"/>
      <c r="F52" s="2124">
        <v>-0.125</v>
      </c>
      <c r="G52" s="2124"/>
      <c r="H52" s="1119"/>
      <c r="J52" s="1100"/>
      <c r="P52" s="1061"/>
      <c r="Q52" s="1073"/>
    </row>
    <row r="53" spans="1:17" ht="20.25">
      <c r="A53" s="1077"/>
      <c r="B53" s="2123" t="s">
        <v>609</v>
      </c>
      <c r="C53" s="2092"/>
      <c r="D53" s="1121"/>
      <c r="E53" s="1121"/>
      <c r="F53" s="2124">
        <v>-0.25</v>
      </c>
      <c r="G53" s="2124"/>
      <c r="H53" s="1119"/>
      <c r="J53" s="1100"/>
      <c r="P53" s="1061"/>
      <c r="Q53" s="1073"/>
    </row>
    <row r="54" spans="1:17" ht="20.25">
      <c r="A54" s="1077"/>
      <c r="B54" s="2123" t="s">
        <v>608</v>
      </c>
      <c r="C54" s="2092"/>
      <c r="D54" s="1121"/>
      <c r="E54" s="1121"/>
      <c r="F54" s="2124">
        <v>-0.375</v>
      </c>
      <c r="G54" s="2124"/>
      <c r="H54" s="1119"/>
      <c r="J54" s="1100"/>
      <c r="P54" s="1061"/>
      <c r="Q54" s="1073"/>
    </row>
    <row r="55" spans="1:17" ht="20.25">
      <c r="A55" s="1077"/>
      <c r="B55" s="2123" t="s">
        <v>607</v>
      </c>
      <c r="C55" s="2092"/>
      <c r="D55" s="1080"/>
      <c r="E55" s="1080"/>
      <c r="F55" s="2124">
        <v>-0.5</v>
      </c>
      <c r="G55" s="2124"/>
      <c r="H55" s="1119"/>
      <c r="J55" s="1100"/>
      <c r="P55" s="1061"/>
      <c r="Q55" s="1073"/>
    </row>
    <row r="56" spans="1:17" ht="20.25" customHeight="1" thickBot="1">
      <c r="A56" s="1077"/>
      <c r="B56" s="2144" t="s">
        <v>31</v>
      </c>
      <c r="C56" s="2145"/>
      <c r="D56" s="2145"/>
      <c r="E56" s="2145"/>
      <c r="F56" s="2145"/>
      <c r="G56" s="2145"/>
      <c r="H56" s="2146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097" t="s">
        <v>186</v>
      </c>
      <c r="C59" s="2098"/>
      <c r="D59" s="2098"/>
      <c r="E59" s="2098"/>
      <c r="F59" s="2098"/>
      <c r="G59" s="2098"/>
      <c r="H59" s="2098"/>
      <c r="I59" s="2098"/>
      <c r="J59" s="2098"/>
      <c r="K59" s="2098"/>
      <c r="L59" s="2098"/>
      <c r="M59" s="2098"/>
      <c r="N59" s="2098"/>
      <c r="O59" s="2098"/>
      <c r="P59" s="2099"/>
      <c r="Q59" s="1073"/>
    </row>
    <row r="60" spans="1:17" ht="20.25" customHeight="1">
      <c r="A60" s="1077"/>
      <c r="B60" s="2107" t="s">
        <v>187</v>
      </c>
      <c r="C60" s="2108"/>
      <c r="D60" s="2108"/>
      <c r="E60" s="2108"/>
      <c r="F60" s="2108"/>
      <c r="G60" s="2108"/>
      <c r="H60" s="2108"/>
      <c r="I60" s="2108"/>
      <c r="J60" s="2108"/>
      <c r="K60" s="2108"/>
      <c r="L60" s="2108"/>
      <c r="M60" s="2108"/>
      <c r="N60" s="2108"/>
      <c r="O60" s="2108"/>
      <c r="P60" s="2137"/>
      <c r="Q60" s="1073"/>
    </row>
    <row r="61" spans="1:17" ht="20.25" customHeight="1">
      <c r="A61" s="1077"/>
      <c r="B61" s="2123" t="s">
        <v>382</v>
      </c>
      <c r="C61" s="2092"/>
      <c r="D61" s="2092"/>
      <c r="E61" s="2092"/>
      <c r="F61" s="2092"/>
      <c r="G61" s="2092"/>
      <c r="H61" s="2092"/>
      <c r="I61" s="2092"/>
      <c r="J61" s="2092"/>
      <c r="K61" s="2092"/>
      <c r="L61" s="2092"/>
      <c r="M61" s="2092"/>
      <c r="N61" s="2092"/>
      <c r="O61" s="2092"/>
      <c r="P61" s="2093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06"/>
      <c r="H62" s="1106"/>
      <c r="I62" s="1133"/>
      <c r="J62" s="1104"/>
      <c r="K62" s="1104"/>
      <c r="L62" s="1104"/>
      <c r="M62" s="1104"/>
      <c r="N62" s="1104"/>
      <c r="O62" s="1104"/>
      <c r="P62" s="110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06"/>
      <c r="H63" s="1106"/>
      <c r="I63" s="1133"/>
      <c r="J63" s="1288"/>
      <c r="K63" s="1288"/>
      <c r="L63" s="1288"/>
      <c r="M63" s="1288"/>
      <c r="N63" s="1288"/>
      <c r="O63" s="1288"/>
      <c r="P63" s="128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57" t="s">
        <v>606</v>
      </c>
      <c r="C86" s="1758"/>
      <c r="D86" s="1758"/>
      <c r="E86" s="1758"/>
      <c r="F86" s="1758"/>
      <c r="G86" s="1758"/>
      <c r="H86" s="1758"/>
      <c r="I86" s="1758"/>
      <c r="J86" s="1758"/>
      <c r="K86" s="1758"/>
      <c r="L86" s="1758"/>
      <c r="M86" s="1758"/>
      <c r="N86" s="1758"/>
      <c r="O86" s="1758"/>
      <c r="P86" s="1759"/>
      <c r="Q86" s="1070"/>
    </row>
    <row r="87" spans="1:17" s="1057" customFormat="1" ht="15.75" thickBot="1">
      <c r="A87" s="1063"/>
      <c r="B87" s="1760"/>
      <c r="C87" s="1761"/>
      <c r="D87" s="1761"/>
      <c r="E87" s="1761"/>
      <c r="F87" s="1761"/>
      <c r="G87" s="1761"/>
      <c r="H87" s="1761"/>
      <c r="I87" s="1761"/>
      <c r="J87" s="1761"/>
      <c r="K87" s="1761"/>
      <c r="L87" s="1761"/>
      <c r="M87" s="1761"/>
      <c r="N87" s="1761"/>
      <c r="O87" s="1761"/>
      <c r="P87" s="1762"/>
      <c r="Q87" s="1070"/>
    </row>
    <row r="88" spans="1:17" s="1057" customFormat="1" ht="21" customHeight="1">
      <c r="A88" s="1063"/>
      <c r="B88" s="2107" t="s">
        <v>190</v>
      </c>
      <c r="C88" s="2108"/>
      <c r="D88" s="2108"/>
      <c r="E88" s="2108"/>
      <c r="F88" s="2108"/>
      <c r="G88" s="2108"/>
      <c r="H88" s="2108"/>
      <c r="I88" s="2108"/>
      <c r="J88" s="2108"/>
      <c r="K88" s="2108"/>
      <c r="L88" s="2108"/>
      <c r="M88" s="2108"/>
      <c r="N88" s="2108"/>
      <c r="O88" s="2108"/>
      <c r="P88" s="2137"/>
      <c r="Q88" s="1070"/>
    </row>
    <row r="89" spans="1:17" s="1057" customFormat="1" ht="21" customHeight="1" thickBot="1">
      <c r="A89" s="1063"/>
      <c r="B89" s="2138" t="s">
        <v>191</v>
      </c>
      <c r="C89" s="2139"/>
      <c r="D89" s="2139"/>
      <c r="E89" s="2139"/>
      <c r="F89" s="2139"/>
      <c r="G89" s="2139"/>
      <c r="H89" s="2139"/>
      <c r="I89" s="2139"/>
      <c r="J89" s="2139"/>
      <c r="K89" s="2139"/>
      <c r="L89" s="2139"/>
      <c r="M89" s="2139"/>
      <c r="N89" s="2139"/>
      <c r="O89" s="2139"/>
      <c r="P89" s="2140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141" t="s">
        <v>192</v>
      </c>
      <c r="C99" s="2141"/>
      <c r="D99" s="2141"/>
      <c r="E99" s="2141"/>
      <c r="F99" s="2141"/>
      <c r="G99" s="2141"/>
      <c r="H99" s="2141"/>
      <c r="I99" s="2141"/>
      <c r="J99" s="2141"/>
      <c r="K99" s="2141"/>
      <c r="L99" s="2141"/>
      <c r="M99" s="2141"/>
      <c r="N99" s="2141"/>
      <c r="O99" s="2141"/>
      <c r="P99" s="2141"/>
      <c r="Q99" s="1064"/>
    </row>
    <row r="100" spans="1:17">
      <c r="A100" s="1063"/>
      <c r="B100" s="2142"/>
      <c r="C100" s="2142"/>
      <c r="D100" s="2142"/>
      <c r="E100" s="2142"/>
      <c r="F100" s="2142"/>
      <c r="G100" s="2142"/>
      <c r="H100" s="2142"/>
      <c r="I100" s="2142"/>
      <c r="J100" s="2142"/>
      <c r="K100" s="2142"/>
      <c r="L100" s="2142"/>
      <c r="M100" s="2142"/>
      <c r="N100" s="2142"/>
      <c r="O100" s="2142"/>
      <c r="P100" s="2142"/>
      <c r="Q100" s="1061"/>
    </row>
    <row r="101" spans="1:17">
      <c r="A101" s="1063"/>
      <c r="B101" s="2142"/>
      <c r="C101" s="2142"/>
      <c r="D101" s="2142"/>
      <c r="E101" s="2142"/>
      <c r="F101" s="2142"/>
      <c r="G101" s="2142"/>
      <c r="H101" s="2142"/>
      <c r="I101" s="2142"/>
      <c r="J101" s="2142"/>
      <c r="K101" s="2142"/>
      <c r="L101" s="2142"/>
      <c r="M101" s="2142"/>
      <c r="N101" s="2142"/>
      <c r="O101" s="2142"/>
      <c r="P101" s="2142"/>
      <c r="Q101" s="1061"/>
    </row>
    <row r="102" spans="1:17" ht="15.75" thickBot="1">
      <c r="A102" s="1060"/>
      <c r="B102" s="2143"/>
      <c r="C102" s="2143"/>
      <c r="D102" s="2143"/>
      <c r="E102" s="2143"/>
      <c r="F102" s="2143"/>
      <c r="G102" s="2143"/>
      <c r="H102" s="2143"/>
      <c r="I102" s="2143"/>
      <c r="J102" s="2143"/>
      <c r="K102" s="2143"/>
      <c r="L102" s="2143"/>
      <c r="M102" s="2143"/>
      <c r="N102" s="2143"/>
      <c r="O102" s="2143"/>
      <c r="P102" s="2143"/>
      <c r="Q102" s="1059"/>
    </row>
  </sheetData>
  <mergeCells count="52"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L2:N2"/>
    <mergeCell ref="O2:P2"/>
    <mergeCell ref="N3:O3"/>
    <mergeCell ref="O4:P4"/>
    <mergeCell ref="O5:P5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04" t="s">
        <v>361</v>
      </c>
      <c r="M2" s="2104"/>
      <c r="N2" s="2104"/>
      <c r="O2" s="2105">
        <f ca="1">NOW()</f>
        <v>45978.399704166666</v>
      </c>
      <c r="P2" s="2105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05"/>
      <c r="O3" s="2105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04"/>
      <c r="P4" s="2104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06"/>
      <c r="P5" s="2106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082"/>
      <c r="O6" s="2083"/>
      <c r="P6" s="2083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084"/>
      <c r="O7" s="2084"/>
      <c r="P7" s="2084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084"/>
      <c r="O8" s="2084"/>
      <c r="P8" s="2084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085" t="s">
        <v>371</v>
      </c>
      <c r="B12" s="2086"/>
      <c r="C12" s="2086"/>
      <c r="D12" s="2086"/>
      <c r="E12" s="2086"/>
      <c r="F12" s="2086"/>
      <c r="G12" s="2086"/>
      <c r="H12" s="2086"/>
      <c r="I12" s="2086"/>
      <c r="J12" s="2086"/>
      <c r="K12" s="2086"/>
      <c r="L12" s="2086"/>
      <c r="M12" s="2086"/>
      <c r="N12" s="2086"/>
      <c r="O12" s="2086"/>
      <c r="P12" s="2086"/>
      <c r="Q12" s="2087"/>
    </row>
    <row r="13" spans="1:17" ht="15.75" customHeight="1" thickBot="1">
      <c r="A13" s="2088"/>
      <c r="B13" s="2089"/>
      <c r="C13" s="2089"/>
      <c r="D13" s="2089"/>
      <c r="E13" s="2089"/>
      <c r="F13" s="2089"/>
      <c r="G13" s="2089"/>
      <c r="H13" s="2089"/>
      <c r="I13" s="2089"/>
      <c r="J13" s="2089"/>
      <c r="K13" s="2089"/>
      <c r="L13" s="2089"/>
      <c r="M13" s="2089"/>
      <c r="N13" s="2089"/>
      <c r="O13" s="2089"/>
      <c r="P13" s="2089"/>
      <c r="Q13" s="2090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171" t="s">
        <v>627</v>
      </c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69"/>
      <c r="Q15" s="1073"/>
    </row>
    <row r="16" spans="1:17" ht="15" customHeight="1">
      <c r="A16" s="1077"/>
      <c r="B16" s="1159"/>
      <c r="C16" s="1154"/>
      <c r="D16" s="1154"/>
      <c r="E16" s="1154"/>
      <c r="F16" s="1154"/>
      <c r="G16" s="1154"/>
      <c r="H16" s="1154"/>
      <c r="I16" s="1154"/>
      <c r="J16" s="2091"/>
      <c r="K16" s="2091"/>
      <c r="L16" s="1154"/>
      <c r="M16" s="1154"/>
      <c r="N16" s="1154"/>
      <c r="O16" s="1154"/>
      <c r="P16" s="1158"/>
      <c r="Q16" s="1073"/>
    </row>
    <row r="17" spans="1:17" ht="15" customHeight="1">
      <c r="A17" s="1077"/>
      <c r="B17" s="1159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160"/>
      <c r="Q17" s="1073"/>
    </row>
    <row r="18" spans="1:17" ht="15" customHeight="1">
      <c r="A18" s="1077"/>
      <c r="B18" s="1159"/>
      <c r="C18" s="1154"/>
      <c r="D18" s="1154"/>
      <c r="E18" s="1154"/>
      <c r="F18" s="1154"/>
      <c r="G18" s="1154"/>
      <c r="H18" s="1154"/>
      <c r="I18" s="1154"/>
      <c r="J18" s="2091"/>
      <c r="K18" s="2091"/>
      <c r="L18" s="1168"/>
      <c r="M18" s="1166"/>
      <c r="N18" s="1161"/>
      <c r="O18" s="1166"/>
      <c r="P18" s="1165"/>
      <c r="Q18" s="1073"/>
    </row>
    <row r="19" spans="1:17" ht="15" customHeight="1">
      <c r="A19" s="1077"/>
      <c r="B19" s="1159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160"/>
      <c r="Q19" s="1073"/>
    </row>
    <row r="20" spans="1:17" ht="15" customHeight="1">
      <c r="A20" s="1077"/>
      <c r="B20" s="1159"/>
      <c r="C20" s="1154"/>
      <c r="D20" s="1154"/>
      <c r="E20" s="1154"/>
      <c r="F20" s="1154"/>
      <c r="G20" s="1154"/>
      <c r="H20" s="1154"/>
      <c r="I20" s="1154"/>
      <c r="J20" s="2091"/>
      <c r="K20" s="2091"/>
      <c r="L20" s="1163"/>
      <c r="M20" s="1166"/>
      <c r="N20" s="1163"/>
      <c r="O20" s="1166"/>
      <c r="P20" s="1165"/>
      <c r="Q20" s="1073"/>
    </row>
    <row r="21" spans="1:17" ht="15" customHeight="1">
      <c r="A21" s="1077"/>
      <c r="B21" s="1159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160"/>
      <c r="Q21" s="1073"/>
    </row>
    <row r="22" spans="1:17" ht="14.25" customHeight="1">
      <c r="A22" s="1077"/>
      <c r="B22" s="1159"/>
      <c r="C22" s="1154"/>
      <c r="D22" s="1154"/>
      <c r="E22" s="1154"/>
      <c r="F22" s="1154"/>
      <c r="G22" s="1154"/>
      <c r="H22" s="1154"/>
      <c r="I22" s="1154"/>
      <c r="J22" s="2091"/>
      <c r="K22" s="2091"/>
      <c r="L22" s="1166"/>
      <c r="M22" s="1166"/>
      <c r="N22" s="1167"/>
      <c r="O22" s="1166"/>
      <c r="P22" s="1165"/>
      <c r="Q22" s="1073"/>
    </row>
    <row r="23" spans="1:17" ht="15" customHeight="1">
      <c r="A23" s="1077"/>
      <c r="B23" s="1159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160"/>
      <c r="Q23" s="1073"/>
    </row>
    <row r="24" spans="1:17" ht="15" customHeight="1">
      <c r="A24" s="1077"/>
      <c r="B24" s="1159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8"/>
      <c r="Q24" s="1073"/>
    </row>
    <row r="25" spans="1:17" ht="15" customHeight="1">
      <c r="A25" s="1077"/>
      <c r="B25" s="1159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8"/>
      <c r="Q25" s="1073"/>
    </row>
    <row r="26" spans="1:17" ht="15" customHeight="1">
      <c r="A26" s="1077"/>
      <c r="B26" s="1159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8"/>
      <c r="Q26" s="1073"/>
    </row>
    <row r="27" spans="1:17" ht="15" customHeight="1">
      <c r="A27" s="1077"/>
      <c r="B27" s="1157"/>
      <c r="C27" s="1156"/>
      <c r="D27" s="1156"/>
      <c r="E27" s="1156"/>
      <c r="F27" s="1156"/>
      <c r="G27" s="1156"/>
      <c r="H27" s="1156"/>
      <c r="I27" s="1156"/>
      <c r="J27" s="1156"/>
      <c r="K27" s="1156"/>
      <c r="L27" s="1156"/>
      <c r="M27" s="1156"/>
      <c r="N27" s="1156"/>
      <c r="O27" s="1156"/>
      <c r="P27" s="1155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094" t="s">
        <v>625</v>
      </c>
      <c r="C29" s="2095"/>
      <c r="D29" s="2095"/>
      <c r="E29" s="2095"/>
      <c r="F29" s="2095"/>
      <c r="G29" s="2095"/>
      <c r="H29" s="2096"/>
      <c r="I29" s="1080"/>
      <c r="J29" s="1757" t="s">
        <v>624</v>
      </c>
      <c r="K29" s="1758"/>
      <c r="L29" s="1758"/>
      <c r="M29" s="1758"/>
      <c r="N29" s="1758"/>
      <c r="O29" s="1758"/>
      <c r="P29" s="1759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14" t="s">
        <v>284</v>
      </c>
      <c r="K30" s="2115"/>
      <c r="L30" s="2115"/>
      <c r="M30" s="2115"/>
      <c r="N30" s="2115"/>
      <c r="O30" s="2115"/>
      <c r="P30" s="2116"/>
      <c r="Q30" s="1073"/>
    </row>
    <row r="31" spans="1:17" ht="20.25" customHeight="1">
      <c r="A31" s="1077"/>
      <c r="B31" s="1152" t="s">
        <v>222</v>
      </c>
      <c r="C31" s="1086"/>
      <c r="D31" s="1086"/>
      <c r="E31" s="1133"/>
      <c r="F31" s="1133"/>
      <c r="G31" s="2092" t="s">
        <v>182</v>
      </c>
      <c r="H31" s="2093"/>
      <c r="I31" s="1080"/>
      <c r="J31" s="2117"/>
      <c r="K31" s="2118"/>
      <c r="L31" s="2118"/>
      <c r="M31" s="2118"/>
      <c r="N31" s="2118"/>
      <c r="O31" s="2118"/>
      <c r="P31" s="2119"/>
      <c r="Q31" s="1073"/>
    </row>
    <row r="32" spans="1:17" ht="19.5" customHeight="1">
      <c r="A32" s="1077"/>
      <c r="B32" s="1152" t="s">
        <v>34</v>
      </c>
      <c r="C32" s="1153"/>
      <c r="D32" s="1086"/>
      <c r="E32" s="1086"/>
      <c r="F32" s="1086"/>
      <c r="G32" s="2092" t="s">
        <v>183</v>
      </c>
      <c r="H32" s="2093"/>
      <c r="I32" s="1080"/>
      <c r="J32" s="2117"/>
      <c r="K32" s="2118"/>
      <c r="L32" s="2118"/>
      <c r="M32" s="2118"/>
      <c r="N32" s="2118"/>
      <c r="O32" s="2118"/>
      <c r="P32" s="2119"/>
      <c r="Q32" s="1073"/>
    </row>
    <row r="33" spans="1:17" ht="20.25" customHeight="1">
      <c r="A33" s="1077"/>
      <c r="B33" s="1112" t="s">
        <v>35</v>
      </c>
      <c r="C33" s="1111"/>
      <c r="D33" s="1111"/>
      <c r="E33" s="1111"/>
      <c r="F33" s="1111"/>
      <c r="G33" s="2092" t="s">
        <v>356</v>
      </c>
      <c r="H33" s="2093"/>
      <c r="I33" s="1080"/>
      <c r="J33" s="2117"/>
      <c r="K33" s="2118"/>
      <c r="L33" s="2118"/>
      <c r="M33" s="2118"/>
      <c r="N33" s="2118"/>
      <c r="O33" s="2118"/>
      <c r="P33" s="2119"/>
      <c r="Q33" s="1073"/>
    </row>
    <row r="34" spans="1:17" ht="20.25" customHeight="1">
      <c r="A34" s="1077"/>
      <c r="B34" s="1152" t="s">
        <v>366</v>
      </c>
      <c r="C34" s="1105"/>
      <c r="D34" s="1086"/>
      <c r="E34" s="1086"/>
      <c r="F34" s="1086"/>
      <c r="G34" s="2092" t="s">
        <v>357</v>
      </c>
      <c r="H34" s="2093"/>
      <c r="I34" s="1080"/>
      <c r="J34" s="2117"/>
      <c r="K34" s="2118"/>
      <c r="L34" s="2118"/>
      <c r="M34" s="2118"/>
      <c r="N34" s="2118"/>
      <c r="O34" s="2118"/>
      <c r="P34" s="2119"/>
      <c r="Q34" s="1073"/>
    </row>
    <row r="35" spans="1:17" ht="20.25" customHeight="1">
      <c r="A35" s="1077"/>
      <c r="B35" s="1100"/>
      <c r="H35" s="1061"/>
      <c r="I35" s="1080"/>
      <c r="J35" s="2117"/>
      <c r="K35" s="2118"/>
      <c r="L35" s="2118"/>
      <c r="M35" s="2118"/>
      <c r="N35" s="2118"/>
      <c r="O35" s="2118"/>
      <c r="P35" s="2119"/>
      <c r="Q35" s="1073"/>
    </row>
    <row r="36" spans="1:17" ht="20.25" customHeight="1">
      <c r="A36" s="1077"/>
      <c r="B36" s="2147"/>
      <c r="C36" s="2148"/>
      <c r="D36" s="2148"/>
      <c r="E36" s="2148"/>
      <c r="F36" s="2148"/>
      <c r="G36" s="2148"/>
      <c r="H36" s="2149"/>
      <c r="I36" s="1080"/>
      <c r="J36" s="2117"/>
      <c r="K36" s="2118"/>
      <c r="L36" s="2118"/>
      <c r="M36" s="2118"/>
      <c r="N36" s="2118"/>
      <c r="O36" s="2118"/>
      <c r="P36" s="2119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17"/>
      <c r="K37" s="2118"/>
      <c r="L37" s="2118"/>
      <c r="M37" s="2118"/>
      <c r="N37" s="2118"/>
      <c r="O37" s="2118"/>
      <c r="P37" s="2119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20"/>
      <c r="K38" s="2121"/>
      <c r="L38" s="2121"/>
      <c r="M38" s="2121"/>
      <c r="N38" s="2121"/>
      <c r="O38" s="2121"/>
      <c r="P38" s="2122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097" t="s">
        <v>622</v>
      </c>
      <c r="C40" s="2098"/>
      <c r="D40" s="2098"/>
      <c r="E40" s="2098"/>
      <c r="F40" s="2098"/>
      <c r="G40" s="2098"/>
      <c r="H40" s="2099"/>
      <c r="I40" s="1080"/>
      <c r="J40" s="2085" t="s">
        <v>621</v>
      </c>
      <c r="K40" s="2086"/>
      <c r="L40" s="2086"/>
      <c r="M40" s="2086"/>
      <c r="N40" s="2086"/>
      <c r="O40" s="2086"/>
      <c r="P40" s="2087"/>
      <c r="Q40" s="1073"/>
    </row>
    <row r="41" spans="1:17" ht="20.25">
      <c r="A41" s="1077"/>
      <c r="B41" s="2156" t="s">
        <v>653</v>
      </c>
      <c r="C41" s="2157"/>
      <c r="D41" s="2157"/>
      <c r="E41" s="1137"/>
      <c r="F41" s="2158">
        <v>1995</v>
      </c>
      <c r="G41" s="2158"/>
      <c r="H41" s="2159"/>
      <c r="I41" s="1080"/>
      <c r="J41" s="2111" t="s">
        <v>619</v>
      </c>
      <c r="K41" s="2112"/>
      <c r="L41" s="2112"/>
      <c r="M41" s="2112"/>
      <c r="N41" s="2112"/>
      <c r="O41" s="2112"/>
      <c r="P41" s="2113"/>
      <c r="Q41" s="1073"/>
    </row>
    <row r="42" spans="1:17" ht="20.25">
      <c r="A42" s="1077"/>
      <c r="B42" s="2100"/>
      <c r="C42" s="2101"/>
      <c r="D42" s="2101"/>
      <c r="E42" s="1122"/>
      <c r="F42" s="2102"/>
      <c r="G42" s="2102"/>
      <c r="H42" s="2103"/>
      <c r="I42" s="1080"/>
      <c r="J42" s="1100"/>
      <c r="P42" s="1061"/>
      <c r="Q42" s="1073"/>
    </row>
    <row r="43" spans="1:17" ht="20.25">
      <c r="A43" s="1077"/>
      <c r="B43" s="2123"/>
      <c r="C43" s="2092"/>
      <c r="D43" s="2092"/>
      <c r="E43" s="1136"/>
      <c r="F43" s="2102"/>
      <c r="G43" s="2102"/>
      <c r="H43" s="2103"/>
      <c r="I43" s="1080"/>
      <c r="J43" s="2150" t="s">
        <v>617</v>
      </c>
      <c r="K43" s="2151"/>
      <c r="L43" s="2151"/>
      <c r="M43" s="2151"/>
      <c r="N43" s="2151"/>
      <c r="O43" s="2151"/>
      <c r="P43" s="2152"/>
      <c r="Q43" s="1073"/>
    </row>
    <row r="44" spans="1:17" ht="20.25">
      <c r="A44" s="1077"/>
      <c r="B44" s="2123" t="s">
        <v>616</v>
      </c>
      <c r="C44" s="2092"/>
      <c r="D44" s="2092"/>
      <c r="E44" s="2092"/>
      <c r="F44" s="2092"/>
      <c r="G44" s="2092"/>
      <c r="H44" s="2093"/>
      <c r="I44" s="1080"/>
      <c r="J44" s="2153" t="s">
        <v>615</v>
      </c>
      <c r="K44" s="2154"/>
      <c r="L44" s="2154"/>
      <c r="M44" s="2154"/>
      <c r="N44" s="2154"/>
      <c r="O44" s="2154"/>
      <c r="P44" s="2155"/>
      <c r="Q44" s="1073"/>
    </row>
    <row r="45" spans="1:17" ht="20.25">
      <c r="A45" s="1077"/>
      <c r="B45" s="2131" t="s">
        <v>614</v>
      </c>
      <c r="C45" s="2132"/>
      <c r="D45" s="2132"/>
      <c r="E45" s="2132"/>
      <c r="F45" s="2132"/>
      <c r="G45" s="2132"/>
      <c r="H45" s="2133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097" t="s">
        <v>613</v>
      </c>
      <c r="C49" s="2098"/>
      <c r="D49" s="2098"/>
      <c r="E49" s="2098"/>
      <c r="F49" s="2098"/>
      <c r="G49" s="2098"/>
      <c r="H49" s="2099"/>
      <c r="J49" s="1100"/>
      <c r="P49" s="1061"/>
      <c r="Q49" s="1073"/>
    </row>
    <row r="50" spans="1:17" ht="19.5" customHeight="1">
      <c r="A50" s="1077"/>
      <c r="B50" s="2134" t="s">
        <v>612</v>
      </c>
      <c r="C50" s="2135"/>
      <c r="D50" s="2135"/>
      <c r="E50" s="2135"/>
      <c r="F50" s="2135"/>
      <c r="G50" s="2135"/>
      <c r="H50" s="2136"/>
      <c r="J50" s="1100"/>
      <c r="P50" s="1061"/>
      <c r="Q50" s="1073"/>
    </row>
    <row r="51" spans="1:17" ht="19.5" customHeight="1">
      <c r="A51" s="1077"/>
      <c r="B51" s="2134" t="s">
        <v>611</v>
      </c>
      <c r="C51" s="2135"/>
      <c r="D51" s="2135"/>
      <c r="E51" s="2135"/>
      <c r="F51" s="2135"/>
      <c r="G51" s="2135"/>
      <c r="H51" s="2136"/>
      <c r="J51" s="1100"/>
      <c r="P51" s="1061"/>
      <c r="Q51" s="1073"/>
    </row>
    <row r="52" spans="1:17" ht="20.25">
      <c r="A52" s="1077"/>
      <c r="B52" s="2123" t="s">
        <v>610</v>
      </c>
      <c r="C52" s="2092"/>
      <c r="D52" s="1121"/>
      <c r="E52" s="1121"/>
      <c r="F52" s="2124">
        <v>-0.125</v>
      </c>
      <c r="G52" s="2124"/>
      <c r="H52" s="1119"/>
      <c r="J52" s="1100"/>
      <c r="P52" s="1061"/>
      <c r="Q52" s="1073"/>
    </row>
    <row r="53" spans="1:17" ht="20.25">
      <c r="A53" s="1077"/>
      <c r="B53" s="2123" t="s">
        <v>609</v>
      </c>
      <c r="C53" s="2092"/>
      <c r="D53" s="1121"/>
      <c r="E53" s="1121"/>
      <c r="F53" s="2124">
        <v>-0.25</v>
      </c>
      <c r="G53" s="2124"/>
      <c r="H53" s="1119"/>
      <c r="J53" s="1100"/>
      <c r="P53" s="1061"/>
      <c r="Q53" s="1073"/>
    </row>
    <row r="54" spans="1:17" ht="20.25">
      <c r="A54" s="1077"/>
      <c r="B54" s="2123" t="s">
        <v>608</v>
      </c>
      <c r="C54" s="2092"/>
      <c r="D54" s="1121"/>
      <c r="E54" s="1121"/>
      <c r="F54" s="2124">
        <v>-0.375</v>
      </c>
      <c r="G54" s="2124"/>
      <c r="H54" s="1119"/>
      <c r="J54" s="1100"/>
      <c r="P54" s="1061"/>
      <c r="Q54" s="1073"/>
    </row>
    <row r="55" spans="1:17" ht="20.25">
      <c r="A55" s="1077"/>
      <c r="B55" s="2123" t="s">
        <v>607</v>
      </c>
      <c r="C55" s="2092"/>
      <c r="D55" s="1080"/>
      <c r="E55" s="1080"/>
      <c r="F55" s="2124">
        <v>-0.5</v>
      </c>
      <c r="G55" s="2124"/>
      <c r="H55" s="1119"/>
      <c r="J55" s="1100"/>
      <c r="P55" s="1061"/>
      <c r="Q55" s="1073"/>
    </row>
    <row r="56" spans="1:17" ht="20.25" customHeight="1" thickBot="1">
      <c r="A56" s="1077"/>
      <c r="B56" s="2144" t="s">
        <v>31</v>
      </c>
      <c r="C56" s="2145"/>
      <c r="D56" s="2145"/>
      <c r="E56" s="2145"/>
      <c r="F56" s="2145"/>
      <c r="G56" s="2145"/>
      <c r="H56" s="2146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097" t="s">
        <v>186</v>
      </c>
      <c r="C59" s="2098"/>
      <c r="D59" s="2098"/>
      <c r="E59" s="2098"/>
      <c r="F59" s="2098"/>
      <c r="G59" s="2098"/>
      <c r="H59" s="2098"/>
      <c r="I59" s="2098"/>
      <c r="J59" s="2098"/>
      <c r="K59" s="2098"/>
      <c r="L59" s="2098"/>
      <c r="M59" s="2098"/>
      <c r="N59" s="2098"/>
      <c r="O59" s="2098"/>
      <c r="P59" s="2099"/>
      <c r="Q59" s="1073"/>
    </row>
    <row r="60" spans="1:17" ht="20.25" customHeight="1">
      <c r="A60" s="1077"/>
      <c r="B60" s="2107" t="s">
        <v>507</v>
      </c>
      <c r="C60" s="2108"/>
      <c r="D60" s="2108"/>
      <c r="E60" s="2108"/>
      <c r="F60" s="2108"/>
      <c r="G60" s="2108"/>
      <c r="H60" s="2108"/>
      <c r="I60" s="2108"/>
      <c r="J60" s="2108"/>
      <c r="K60" s="2108"/>
      <c r="L60" s="2108"/>
      <c r="M60" s="2108"/>
      <c r="N60" s="2108"/>
      <c r="O60" s="2108"/>
      <c r="P60" s="2137"/>
      <c r="Q60" s="1073"/>
    </row>
    <row r="61" spans="1:17" ht="20.25" customHeight="1">
      <c r="A61" s="1077"/>
      <c r="B61" s="2123" t="s">
        <v>387</v>
      </c>
      <c r="C61" s="2092"/>
      <c r="D61" s="2092"/>
      <c r="E61" s="2092"/>
      <c r="F61" s="2092"/>
      <c r="G61" s="2092"/>
      <c r="H61" s="2092"/>
      <c r="I61" s="2092"/>
      <c r="J61" s="2092"/>
      <c r="K61" s="2092"/>
      <c r="L61" s="2092"/>
      <c r="M61" s="2092"/>
      <c r="N61" s="2092"/>
      <c r="O61" s="2092"/>
      <c r="P61" s="2093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06"/>
      <c r="H62" s="1106"/>
      <c r="I62" s="1133"/>
      <c r="J62" s="1104"/>
      <c r="K62" s="1104"/>
      <c r="L62" s="1104"/>
      <c r="M62" s="1104"/>
      <c r="N62" s="1104"/>
      <c r="O62" s="1104"/>
      <c r="P62" s="110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06"/>
      <c r="H63" s="1106"/>
      <c r="I63" s="1133"/>
      <c r="J63" s="1288"/>
      <c r="K63" s="1288"/>
      <c r="L63" s="1288"/>
      <c r="M63" s="1288"/>
      <c r="N63" s="1288"/>
      <c r="O63" s="1288"/>
      <c r="P63" s="128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57" t="s">
        <v>606</v>
      </c>
      <c r="C86" s="1758"/>
      <c r="D86" s="1758"/>
      <c r="E86" s="1758"/>
      <c r="F86" s="1758"/>
      <c r="G86" s="1758"/>
      <c r="H86" s="1758"/>
      <c r="I86" s="1758"/>
      <c r="J86" s="1758"/>
      <c r="K86" s="1758"/>
      <c r="L86" s="1758"/>
      <c r="M86" s="1758"/>
      <c r="N86" s="1758"/>
      <c r="O86" s="1758"/>
      <c r="P86" s="1759"/>
      <c r="Q86" s="1070"/>
    </row>
    <row r="87" spans="1:17" s="1057" customFormat="1" ht="15.75" thickBot="1">
      <c r="A87" s="1063"/>
      <c r="B87" s="1760"/>
      <c r="C87" s="1761"/>
      <c r="D87" s="1761"/>
      <c r="E87" s="1761"/>
      <c r="F87" s="1761"/>
      <c r="G87" s="1761"/>
      <c r="H87" s="1761"/>
      <c r="I87" s="1761"/>
      <c r="J87" s="1761"/>
      <c r="K87" s="1761"/>
      <c r="L87" s="1761"/>
      <c r="M87" s="1761"/>
      <c r="N87" s="1761"/>
      <c r="O87" s="1761"/>
      <c r="P87" s="1762"/>
      <c r="Q87" s="1070"/>
    </row>
    <row r="88" spans="1:17" s="1057" customFormat="1" ht="21" customHeight="1">
      <c r="A88" s="1063"/>
      <c r="B88" s="2107" t="s">
        <v>190</v>
      </c>
      <c r="C88" s="2108"/>
      <c r="D88" s="2108"/>
      <c r="E88" s="2108"/>
      <c r="F88" s="2108"/>
      <c r="G88" s="2108"/>
      <c r="H88" s="2108"/>
      <c r="I88" s="2108"/>
      <c r="J88" s="2108"/>
      <c r="K88" s="2108"/>
      <c r="L88" s="2108"/>
      <c r="M88" s="2108"/>
      <c r="N88" s="2108"/>
      <c r="O88" s="2108"/>
      <c r="P88" s="2137"/>
      <c r="Q88" s="1070"/>
    </row>
    <row r="89" spans="1:17" s="1057" customFormat="1" ht="21" customHeight="1" thickBot="1">
      <c r="A89" s="1063"/>
      <c r="B89" s="2138" t="s">
        <v>191</v>
      </c>
      <c r="C89" s="2139"/>
      <c r="D89" s="2139"/>
      <c r="E89" s="2139"/>
      <c r="F89" s="2139"/>
      <c r="G89" s="2139"/>
      <c r="H89" s="2139"/>
      <c r="I89" s="2139"/>
      <c r="J89" s="2139"/>
      <c r="K89" s="2139"/>
      <c r="L89" s="2139"/>
      <c r="M89" s="2139"/>
      <c r="N89" s="2139"/>
      <c r="O89" s="2139"/>
      <c r="P89" s="2140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141" t="s">
        <v>192</v>
      </c>
      <c r="C99" s="2141"/>
      <c r="D99" s="2141"/>
      <c r="E99" s="2141"/>
      <c r="F99" s="2141"/>
      <c r="G99" s="2141"/>
      <c r="H99" s="2141"/>
      <c r="I99" s="2141"/>
      <c r="J99" s="2141"/>
      <c r="K99" s="2141"/>
      <c r="L99" s="2141"/>
      <c r="M99" s="2141"/>
      <c r="N99" s="2141"/>
      <c r="O99" s="2141"/>
      <c r="P99" s="2141"/>
      <c r="Q99" s="1064"/>
    </row>
    <row r="100" spans="1:17">
      <c r="A100" s="1063"/>
      <c r="B100" s="2142"/>
      <c r="C100" s="2142"/>
      <c r="D100" s="2142"/>
      <c r="E100" s="2142"/>
      <c r="F100" s="2142"/>
      <c r="G100" s="2142"/>
      <c r="H100" s="2142"/>
      <c r="I100" s="2142"/>
      <c r="J100" s="2142"/>
      <c r="K100" s="2142"/>
      <c r="L100" s="2142"/>
      <c r="M100" s="2142"/>
      <c r="N100" s="2142"/>
      <c r="O100" s="2142"/>
      <c r="P100" s="2142"/>
      <c r="Q100" s="1061"/>
    </row>
    <row r="101" spans="1:17">
      <c r="A101" s="1063"/>
      <c r="B101" s="2142"/>
      <c r="C101" s="2142"/>
      <c r="D101" s="2142"/>
      <c r="E101" s="2142"/>
      <c r="F101" s="2142"/>
      <c r="G101" s="2142"/>
      <c r="H101" s="2142"/>
      <c r="I101" s="2142"/>
      <c r="J101" s="2142"/>
      <c r="K101" s="2142"/>
      <c r="L101" s="2142"/>
      <c r="M101" s="2142"/>
      <c r="N101" s="2142"/>
      <c r="O101" s="2142"/>
      <c r="P101" s="2142"/>
      <c r="Q101" s="1061"/>
    </row>
    <row r="102" spans="1:17" ht="15.75" thickBot="1">
      <c r="A102" s="1060"/>
      <c r="B102" s="2143"/>
      <c r="C102" s="2143"/>
      <c r="D102" s="2143"/>
      <c r="E102" s="2143"/>
      <c r="F102" s="2143"/>
      <c r="G102" s="2143"/>
      <c r="H102" s="2143"/>
      <c r="I102" s="2143"/>
      <c r="J102" s="2143"/>
      <c r="K102" s="2143"/>
      <c r="L102" s="2143"/>
      <c r="M102" s="2143"/>
      <c r="N102" s="2143"/>
      <c r="O102" s="2143"/>
      <c r="P102" s="2143"/>
      <c r="Q102" s="1059"/>
    </row>
  </sheetData>
  <mergeCells count="52">
    <mergeCell ref="N6:P6"/>
    <mergeCell ref="N7:P8"/>
    <mergeCell ref="A12:Q13"/>
    <mergeCell ref="J16:K16"/>
    <mergeCell ref="L2:N2"/>
    <mergeCell ref="O2:P2"/>
    <mergeCell ref="N3:O3"/>
    <mergeCell ref="O4:P4"/>
    <mergeCell ref="O5:P5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04" t="s">
        <v>361</v>
      </c>
      <c r="M2" s="2104"/>
      <c r="N2" s="2104"/>
      <c r="O2" s="2105">
        <f ca="1">NOW()</f>
        <v>45978.399704166666</v>
      </c>
      <c r="P2" s="2105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05"/>
      <c r="O3" s="2105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04"/>
      <c r="P4" s="2104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06"/>
      <c r="P5" s="2106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082"/>
      <c r="O6" s="2083"/>
      <c r="P6" s="2083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084"/>
      <c r="O7" s="2084"/>
      <c r="P7" s="2084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084"/>
      <c r="O8" s="2084"/>
      <c r="P8" s="2084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085" t="s">
        <v>667</v>
      </c>
      <c r="B12" s="2086"/>
      <c r="C12" s="2086"/>
      <c r="D12" s="2086"/>
      <c r="E12" s="2086"/>
      <c r="F12" s="2086"/>
      <c r="G12" s="2086"/>
      <c r="H12" s="2086"/>
      <c r="I12" s="2086"/>
      <c r="J12" s="2086"/>
      <c r="K12" s="2086"/>
      <c r="L12" s="2086"/>
      <c r="M12" s="2086"/>
      <c r="N12" s="2086"/>
      <c r="O12" s="2086"/>
      <c r="P12" s="2086"/>
      <c r="Q12" s="2087"/>
    </row>
    <row r="13" spans="1:17" ht="15.75" customHeight="1" thickBot="1">
      <c r="A13" s="2088"/>
      <c r="B13" s="2089"/>
      <c r="C13" s="2089"/>
      <c r="D13" s="2089"/>
      <c r="E13" s="2089"/>
      <c r="F13" s="2089"/>
      <c r="G13" s="2089"/>
      <c r="H13" s="2089"/>
      <c r="I13" s="2089"/>
      <c r="J13" s="2089"/>
      <c r="K13" s="2089"/>
      <c r="L13" s="2089"/>
      <c r="M13" s="2089"/>
      <c r="N13" s="2089"/>
      <c r="O13" s="2089"/>
      <c r="P13" s="2089"/>
      <c r="Q13" s="2090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171" t="s">
        <v>627</v>
      </c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69"/>
      <c r="Q15" s="1073"/>
    </row>
    <row r="16" spans="1:17" ht="15" customHeight="1">
      <c r="A16" s="1077"/>
      <c r="B16" s="1159"/>
      <c r="C16" s="1154"/>
      <c r="D16" s="1154"/>
      <c r="E16" s="1154"/>
      <c r="F16" s="1154"/>
      <c r="G16" s="1154"/>
      <c r="H16" s="1154"/>
      <c r="I16" s="1154"/>
      <c r="J16" s="2091"/>
      <c r="K16" s="2091"/>
      <c r="L16" s="1154"/>
      <c r="M16" s="1154"/>
      <c r="N16" s="1154"/>
      <c r="O16" s="1154"/>
      <c r="P16" s="1158"/>
      <c r="Q16" s="1073"/>
    </row>
    <row r="17" spans="1:17" ht="15" customHeight="1">
      <c r="A17" s="1077"/>
      <c r="B17" s="1159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160"/>
      <c r="Q17" s="1073"/>
    </row>
    <row r="18" spans="1:17" ht="15" customHeight="1">
      <c r="A18" s="1077"/>
      <c r="B18" s="1159"/>
      <c r="C18" s="1154"/>
      <c r="D18" s="1154"/>
      <c r="E18" s="1154"/>
      <c r="F18" s="1154"/>
      <c r="G18" s="1154"/>
      <c r="H18" s="1154"/>
      <c r="I18" s="1154"/>
      <c r="J18" s="2091"/>
      <c r="K18" s="2091"/>
      <c r="L18" s="1168"/>
      <c r="M18" s="1166"/>
      <c r="N18" s="1161"/>
      <c r="O18" s="1166"/>
      <c r="P18" s="1165"/>
      <c r="Q18" s="1073"/>
    </row>
    <row r="19" spans="1:17" ht="15" customHeight="1">
      <c r="A19" s="1077"/>
      <c r="B19" s="1159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160"/>
      <c r="Q19" s="1073"/>
    </row>
    <row r="20" spans="1:17" ht="15" customHeight="1">
      <c r="A20" s="1077"/>
      <c r="B20" s="1159"/>
      <c r="C20" s="1154"/>
      <c r="D20" s="1154"/>
      <c r="E20" s="1154"/>
      <c r="F20" s="1154"/>
      <c r="G20" s="1154"/>
      <c r="H20" s="1154"/>
      <c r="I20" s="1154"/>
      <c r="J20" s="2091"/>
      <c r="K20" s="2091"/>
      <c r="L20" s="1163"/>
      <c r="M20" s="1166"/>
      <c r="N20" s="1163"/>
      <c r="O20" s="1166"/>
      <c r="P20" s="1165"/>
      <c r="Q20" s="1073"/>
    </row>
    <row r="21" spans="1:17" ht="15" customHeight="1">
      <c r="A21" s="1077"/>
      <c r="B21" s="1159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160"/>
      <c r="Q21" s="1073"/>
    </row>
    <row r="22" spans="1:17" ht="14.25" customHeight="1">
      <c r="A22" s="1077"/>
      <c r="B22" s="1159"/>
      <c r="C22" s="1154"/>
      <c r="D22" s="1154"/>
      <c r="E22" s="1154"/>
      <c r="F22" s="1154"/>
      <c r="G22" s="1154"/>
      <c r="H22" s="1154"/>
      <c r="I22" s="1154"/>
      <c r="J22" s="2091"/>
      <c r="K22" s="2091"/>
      <c r="L22" s="1166"/>
      <c r="M22" s="1166"/>
      <c r="N22" s="1167"/>
      <c r="O22" s="1166"/>
      <c r="P22" s="1165"/>
      <c r="Q22" s="1073"/>
    </row>
    <row r="23" spans="1:17" ht="15" customHeight="1">
      <c r="A23" s="1077"/>
      <c r="B23" s="1159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160"/>
      <c r="Q23" s="1073"/>
    </row>
    <row r="24" spans="1:17" ht="15" customHeight="1">
      <c r="A24" s="1077"/>
      <c r="B24" s="1159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8"/>
      <c r="Q24" s="1073"/>
    </row>
    <row r="25" spans="1:17" ht="15" customHeight="1">
      <c r="A25" s="1077"/>
      <c r="B25" s="1159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8"/>
      <c r="Q25" s="1073"/>
    </row>
    <row r="26" spans="1:17" ht="15" customHeight="1">
      <c r="A26" s="1077"/>
      <c r="B26" s="1159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8"/>
      <c r="Q26" s="1073"/>
    </row>
    <row r="27" spans="1:17" ht="15" customHeight="1">
      <c r="A27" s="1077"/>
      <c r="B27" s="1157"/>
      <c r="C27" s="1156"/>
      <c r="D27" s="1156"/>
      <c r="E27" s="1156"/>
      <c r="F27" s="1156"/>
      <c r="G27" s="1156"/>
      <c r="H27" s="1156"/>
      <c r="I27" s="1156"/>
      <c r="J27" s="1156"/>
      <c r="K27" s="1156"/>
      <c r="L27" s="1156"/>
      <c r="M27" s="1156"/>
      <c r="N27" s="1156"/>
      <c r="O27" s="1156"/>
      <c r="P27" s="1155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094" t="s">
        <v>625</v>
      </c>
      <c r="C29" s="2095"/>
      <c r="D29" s="2095"/>
      <c r="E29" s="2095"/>
      <c r="F29" s="2095"/>
      <c r="G29" s="2095"/>
      <c r="H29" s="2096"/>
      <c r="I29" s="1080"/>
      <c r="J29" s="1757" t="s">
        <v>624</v>
      </c>
      <c r="K29" s="1758"/>
      <c r="L29" s="1758"/>
      <c r="M29" s="1758"/>
      <c r="N29" s="1758"/>
      <c r="O29" s="1758"/>
      <c r="P29" s="1759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14" t="s">
        <v>284</v>
      </c>
      <c r="K30" s="2115"/>
      <c r="L30" s="2115"/>
      <c r="M30" s="2115"/>
      <c r="N30" s="2115"/>
      <c r="O30" s="2115"/>
      <c r="P30" s="2116"/>
      <c r="Q30" s="1073"/>
    </row>
    <row r="31" spans="1:17" ht="20.25" customHeight="1">
      <c r="A31" s="1077"/>
      <c r="B31" s="1152" t="s">
        <v>516</v>
      </c>
      <c r="C31" s="1086"/>
      <c r="D31" s="1086"/>
      <c r="E31" s="1133"/>
      <c r="F31" s="1133"/>
      <c r="G31" s="2092" t="s">
        <v>182</v>
      </c>
      <c r="H31" s="2093"/>
      <c r="I31" s="1080"/>
      <c r="J31" s="2117"/>
      <c r="K31" s="2118"/>
      <c r="L31" s="2118"/>
      <c r="M31" s="2118"/>
      <c r="N31" s="2118"/>
      <c r="O31" s="2118"/>
      <c r="P31" s="2119"/>
      <c r="Q31" s="1073"/>
    </row>
    <row r="32" spans="1:17" ht="19.5" customHeight="1">
      <c r="A32" s="1077"/>
      <c r="B32" s="1152" t="s">
        <v>517</v>
      </c>
      <c r="C32" s="1153"/>
      <c r="D32" s="1086"/>
      <c r="E32" s="1086"/>
      <c r="F32" s="1086"/>
      <c r="G32" s="2092" t="s">
        <v>183</v>
      </c>
      <c r="H32" s="2093"/>
      <c r="I32" s="1080"/>
      <c r="J32" s="2117"/>
      <c r="K32" s="2118"/>
      <c r="L32" s="2118"/>
      <c r="M32" s="2118"/>
      <c r="N32" s="2118"/>
      <c r="O32" s="2118"/>
      <c r="P32" s="2119"/>
      <c r="Q32" s="1073"/>
    </row>
    <row r="33" spans="1:17" ht="20.25" customHeight="1">
      <c r="A33" s="1077"/>
      <c r="B33" s="1100"/>
      <c r="G33" s="2092"/>
      <c r="H33" s="2093"/>
      <c r="I33" s="1080"/>
      <c r="J33" s="2117"/>
      <c r="K33" s="2118"/>
      <c r="L33" s="2118"/>
      <c r="M33" s="2118"/>
      <c r="N33" s="2118"/>
      <c r="O33" s="2118"/>
      <c r="P33" s="2119"/>
      <c r="Q33" s="1073"/>
    </row>
    <row r="34" spans="1:17" ht="20.25" customHeight="1">
      <c r="A34" s="1077"/>
      <c r="B34" s="1152"/>
      <c r="C34" s="1105"/>
      <c r="D34" s="1086"/>
      <c r="E34" s="1086"/>
      <c r="F34" s="1086"/>
      <c r="G34" s="2092"/>
      <c r="H34" s="2093"/>
      <c r="I34" s="1080"/>
      <c r="J34" s="2117"/>
      <c r="K34" s="2118"/>
      <c r="L34" s="2118"/>
      <c r="M34" s="2118"/>
      <c r="N34" s="2118"/>
      <c r="O34" s="2118"/>
      <c r="P34" s="2119"/>
      <c r="Q34" s="1073"/>
    </row>
    <row r="35" spans="1:17" ht="20.25" customHeight="1">
      <c r="A35" s="1077"/>
      <c r="B35" s="1100"/>
      <c r="H35" s="1061"/>
      <c r="I35" s="1080"/>
      <c r="J35" s="2117"/>
      <c r="K35" s="2118"/>
      <c r="L35" s="2118"/>
      <c r="M35" s="2118"/>
      <c r="N35" s="2118"/>
      <c r="O35" s="2118"/>
      <c r="P35" s="2119"/>
      <c r="Q35" s="1073"/>
    </row>
    <row r="36" spans="1:17" ht="20.25" customHeight="1">
      <c r="A36" s="1077"/>
      <c r="B36" s="2147"/>
      <c r="C36" s="2148"/>
      <c r="D36" s="2148"/>
      <c r="E36" s="2148"/>
      <c r="F36" s="2148"/>
      <c r="G36" s="2148"/>
      <c r="H36" s="2149"/>
      <c r="I36" s="1080"/>
      <c r="J36" s="2117"/>
      <c r="K36" s="2118"/>
      <c r="L36" s="2118"/>
      <c r="M36" s="2118"/>
      <c r="N36" s="2118"/>
      <c r="O36" s="2118"/>
      <c r="P36" s="2119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17"/>
      <c r="K37" s="2118"/>
      <c r="L37" s="2118"/>
      <c r="M37" s="2118"/>
      <c r="N37" s="2118"/>
      <c r="O37" s="2118"/>
      <c r="P37" s="2119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20"/>
      <c r="K38" s="2121"/>
      <c r="L38" s="2121"/>
      <c r="M38" s="2121"/>
      <c r="N38" s="2121"/>
      <c r="O38" s="2121"/>
      <c r="P38" s="2122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097" t="s">
        <v>622</v>
      </c>
      <c r="C40" s="2098"/>
      <c r="D40" s="2098"/>
      <c r="E40" s="2098"/>
      <c r="F40" s="2098"/>
      <c r="G40" s="2098"/>
      <c r="H40" s="2099"/>
      <c r="I40" s="1080"/>
      <c r="J40" s="2085" t="s">
        <v>621</v>
      </c>
      <c r="K40" s="2086"/>
      <c r="L40" s="2086"/>
      <c r="M40" s="2086"/>
      <c r="N40" s="2086"/>
      <c r="O40" s="2086"/>
      <c r="P40" s="2087"/>
      <c r="Q40" s="1073"/>
    </row>
    <row r="41" spans="1:17" ht="20.25">
      <c r="A41" s="1077"/>
      <c r="B41" s="2107" t="s">
        <v>620</v>
      </c>
      <c r="C41" s="2108"/>
      <c r="D41" s="2108"/>
      <c r="E41" s="1137"/>
      <c r="F41" s="2109">
        <v>1995</v>
      </c>
      <c r="G41" s="2109"/>
      <c r="H41" s="2110"/>
      <c r="I41" s="1080"/>
      <c r="J41" s="2111" t="s">
        <v>619</v>
      </c>
      <c r="K41" s="2112"/>
      <c r="L41" s="2112"/>
      <c r="M41" s="2112"/>
      <c r="N41" s="2112"/>
      <c r="O41" s="2112"/>
      <c r="P41" s="2113"/>
      <c r="Q41" s="1073"/>
    </row>
    <row r="42" spans="1:17" ht="20.25">
      <c r="A42" s="1077"/>
      <c r="B42" s="2100" t="s">
        <v>618</v>
      </c>
      <c r="C42" s="2101"/>
      <c r="D42" s="2101"/>
      <c r="E42" s="1122"/>
      <c r="F42" s="2102">
        <v>599</v>
      </c>
      <c r="G42" s="2102"/>
      <c r="H42" s="2103"/>
      <c r="I42" s="1080"/>
      <c r="J42" s="1100"/>
      <c r="P42" s="1061"/>
      <c r="Q42" s="1073"/>
    </row>
    <row r="43" spans="1:17" ht="20.25">
      <c r="A43" s="1077"/>
      <c r="B43" s="2123" t="s">
        <v>664</v>
      </c>
      <c r="C43" s="2092"/>
      <c r="D43" s="2092"/>
      <c r="E43" s="1136"/>
      <c r="F43" s="2102">
        <v>575</v>
      </c>
      <c r="G43" s="2102"/>
      <c r="H43" s="2103"/>
      <c r="I43" s="1080"/>
      <c r="J43" s="2150" t="s">
        <v>617</v>
      </c>
      <c r="K43" s="2151"/>
      <c r="L43" s="2151"/>
      <c r="M43" s="2151"/>
      <c r="N43" s="2151"/>
      <c r="O43" s="2151"/>
      <c r="P43" s="2152"/>
      <c r="Q43" s="1073"/>
    </row>
    <row r="44" spans="1:17" ht="20.25">
      <c r="A44" s="1077"/>
      <c r="B44" s="2123" t="s">
        <v>616</v>
      </c>
      <c r="C44" s="2092"/>
      <c r="D44" s="2092"/>
      <c r="E44" s="2092"/>
      <c r="F44" s="2092"/>
      <c r="G44" s="2092"/>
      <c r="H44" s="2093"/>
      <c r="I44" s="1080"/>
      <c r="J44" s="2153" t="s">
        <v>615</v>
      </c>
      <c r="K44" s="2154"/>
      <c r="L44" s="2154"/>
      <c r="M44" s="2154"/>
      <c r="N44" s="2154"/>
      <c r="O44" s="2154"/>
      <c r="P44" s="2155"/>
      <c r="Q44" s="1073"/>
    </row>
    <row r="45" spans="1:17" ht="20.25">
      <c r="A45" s="1077"/>
      <c r="B45" s="2131" t="s">
        <v>614</v>
      </c>
      <c r="C45" s="2132"/>
      <c r="D45" s="2132"/>
      <c r="E45" s="2132"/>
      <c r="F45" s="2132"/>
      <c r="G45" s="2132"/>
      <c r="H45" s="2133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097" t="s">
        <v>613</v>
      </c>
      <c r="C49" s="2098"/>
      <c r="D49" s="2098"/>
      <c r="E49" s="2098"/>
      <c r="F49" s="2098"/>
      <c r="G49" s="2098"/>
      <c r="H49" s="2099"/>
      <c r="J49" s="1100"/>
      <c r="P49" s="1061"/>
      <c r="Q49" s="1073"/>
    </row>
    <row r="50" spans="1:17" ht="19.5" customHeight="1">
      <c r="A50" s="1077"/>
      <c r="B50" s="2134" t="s">
        <v>612</v>
      </c>
      <c r="C50" s="2135"/>
      <c r="D50" s="2135"/>
      <c r="E50" s="2135"/>
      <c r="F50" s="2135"/>
      <c r="G50" s="2135"/>
      <c r="H50" s="2136"/>
      <c r="J50" s="1100"/>
      <c r="P50" s="1061"/>
      <c r="Q50" s="1073"/>
    </row>
    <row r="51" spans="1:17" ht="19.5" customHeight="1">
      <c r="A51" s="1077"/>
      <c r="B51" s="2134" t="s">
        <v>611</v>
      </c>
      <c r="C51" s="2135"/>
      <c r="D51" s="2135"/>
      <c r="E51" s="2135"/>
      <c r="F51" s="2135"/>
      <c r="G51" s="2135"/>
      <c r="H51" s="2136"/>
      <c r="J51" s="1100"/>
      <c r="P51" s="1061"/>
      <c r="Q51" s="1073"/>
    </row>
    <row r="52" spans="1:17" ht="20.25">
      <c r="A52" s="1077"/>
      <c r="B52" s="2123" t="s">
        <v>610</v>
      </c>
      <c r="C52" s="2092"/>
      <c r="D52" s="1121"/>
      <c r="E52" s="1121"/>
      <c r="F52" s="2124">
        <v>-0.125</v>
      </c>
      <c r="G52" s="2124"/>
      <c r="H52" s="1119"/>
      <c r="J52" s="1100"/>
      <c r="P52" s="1061"/>
      <c r="Q52" s="1073"/>
    </row>
    <row r="53" spans="1:17" ht="20.25">
      <c r="A53" s="1077"/>
      <c r="B53" s="2123" t="s">
        <v>609</v>
      </c>
      <c r="C53" s="2092"/>
      <c r="D53" s="1121"/>
      <c r="E53" s="1121"/>
      <c r="F53" s="2124">
        <v>-0.25</v>
      </c>
      <c r="G53" s="2124"/>
      <c r="H53" s="1119"/>
      <c r="J53" s="1100"/>
      <c r="P53" s="1061"/>
      <c r="Q53" s="1073"/>
    </row>
    <row r="54" spans="1:17" ht="20.25">
      <c r="A54" s="1077"/>
      <c r="B54" s="2123" t="s">
        <v>608</v>
      </c>
      <c r="C54" s="2092"/>
      <c r="D54" s="1121"/>
      <c r="E54" s="1121"/>
      <c r="F54" s="2124">
        <v>-0.375</v>
      </c>
      <c r="G54" s="2124"/>
      <c r="H54" s="1119"/>
      <c r="J54" s="1100"/>
      <c r="P54" s="1061"/>
      <c r="Q54" s="1073"/>
    </row>
    <row r="55" spans="1:17" ht="20.25">
      <c r="A55" s="1077"/>
      <c r="B55" s="2123" t="s">
        <v>607</v>
      </c>
      <c r="C55" s="2092"/>
      <c r="D55" s="1080"/>
      <c r="E55" s="1080"/>
      <c r="F55" s="2124">
        <v>-0.5</v>
      </c>
      <c r="G55" s="2124"/>
      <c r="H55" s="1119"/>
      <c r="J55" s="1100"/>
      <c r="P55" s="1061"/>
      <c r="Q55" s="1073"/>
    </row>
    <row r="56" spans="1:17" ht="20.25" customHeight="1" thickBot="1">
      <c r="A56" s="1077"/>
      <c r="B56" s="2144" t="s">
        <v>31</v>
      </c>
      <c r="C56" s="2145"/>
      <c r="D56" s="2145"/>
      <c r="E56" s="2145"/>
      <c r="F56" s="2145"/>
      <c r="G56" s="2145"/>
      <c r="H56" s="2146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097" t="s">
        <v>186</v>
      </c>
      <c r="C59" s="2098"/>
      <c r="D59" s="2098"/>
      <c r="E59" s="2098"/>
      <c r="F59" s="2098"/>
      <c r="G59" s="2098"/>
      <c r="H59" s="2098"/>
      <c r="I59" s="2098"/>
      <c r="J59" s="2098"/>
      <c r="K59" s="2098"/>
      <c r="L59" s="2098"/>
      <c r="M59" s="2098"/>
      <c r="N59" s="2098"/>
      <c r="O59" s="2098"/>
      <c r="P59" s="2099"/>
      <c r="Q59" s="1073"/>
    </row>
    <row r="60" spans="1:17" ht="20.25" customHeight="1">
      <c r="A60" s="1077"/>
      <c r="B60" s="2107" t="s">
        <v>187</v>
      </c>
      <c r="C60" s="2108"/>
      <c r="D60" s="2108"/>
      <c r="E60" s="2108"/>
      <c r="F60" s="2108"/>
      <c r="G60" s="2108"/>
      <c r="H60" s="2108"/>
      <c r="I60" s="2108"/>
      <c r="J60" s="2108"/>
      <c r="K60" s="2108"/>
      <c r="L60" s="2108"/>
      <c r="M60" s="2108"/>
      <c r="N60" s="2108"/>
      <c r="O60" s="2108"/>
      <c r="P60" s="2137"/>
      <c r="Q60" s="1073"/>
    </row>
    <row r="61" spans="1:17" ht="20.25" customHeight="1">
      <c r="A61" s="1077"/>
      <c r="B61" s="2123" t="s">
        <v>382</v>
      </c>
      <c r="C61" s="2092"/>
      <c r="D61" s="2092"/>
      <c r="E61" s="2092"/>
      <c r="F61" s="2092"/>
      <c r="G61" s="2092"/>
      <c r="H61" s="2092"/>
      <c r="I61" s="2092"/>
      <c r="J61" s="2092"/>
      <c r="K61" s="2092"/>
      <c r="L61" s="2092"/>
      <c r="M61" s="2092"/>
      <c r="N61" s="2092"/>
      <c r="O61" s="2092"/>
      <c r="P61" s="2093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06"/>
      <c r="H62" s="1106"/>
      <c r="I62" s="1133"/>
      <c r="J62" s="1104"/>
      <c r="K62" s="1104"/>
      <c r="L62" s="1104"/>
      <c r="M62" s="1104"/>
      <c r="N62" s="1104"/>
      <c r="O62" s="1104"/>
      <c r="P62" s="110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06"/>
      <c r="H63" s="1106"/>
      <c r="I63" s="1133"/>
      <c r="J63" s="1288"/>
      <c r="K63" s="1288"/>
      <c r="L63" s="1288"/>
      <c r="M63" s="1288"/>
      <c r="N63" s="1288"/>
      <c r="O63" s="1288"/>
      <c r="P63" s="128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57" t="s">
        <v>606</v>
      </c>
      <c r="C86" s="1758"/>
      <c r="D86" s="1758"/>
      <c r="E86" s="1758"/>
      <c r="F86" s="1758"/>
      <c r="G86" s="1758"/>
      <c r="H86" s="1758"/>
      <c r="I86" s="1758"/>
      <c r="J86" s="1758"/>
      <c r="K86" s="1758"/>
      <c r="L86" s="1758"/>
      <c r="M86" s="1758"/>
      <c r="N86" s="1758"/>
      <c r="O86" s="1758"/>
      <c r="P86" s="1759"/>
      <c r="Q86" s="1070"/>
    </row>
    <row r="87" spans="1:17" s="1057" customFormat="1" ht="15.75" thickBot="1">
      <c r="A87" s="1063"/>
      <c r="B87" s="1760"/>
      <c r="C87" s="1761"/>
      <c r="D87" s="1761"/>
      <c r="E87" s="1761"/>
      <c r="F87" s="1761"/>
      <c r="G87" s="1761"/>
      <c r="H87" s="1761"/>
      <c r="I87" s="1761"/>
      <c r="J87" s="1761"/>
      <c r="K87" s="1761"/>
      <c r="L87" s="1761"/>
      <c r="M87" s="1761"/>
      <c r="N87" s="1761"/>
      <c r="O87" s="1761"/>
      <c r="P87" s="1762"/>
      <c r="Q87" s="1070"/>
    </row>
    <row r="88" spans="1:17" s="1057" customFormat="1" ht="21" customHeight="1">
      <c r="A88" s="1063"/>
      <c r="B88" s="2107" t="s">
        <v>190</v>
      </c>
      <c r="C88" s="2108"/>
      <c r="D88" s="2108"/>
      <c r="E88" s="2108"/>
      <c r="F88" s="2108"/>
      <c r="G88" s="2108"/>
      <c r="H88" s="2108"/>
      <c r="I88" s="2108"/>
      <c r="J88" s="2108"/>
      <c r="K88" s="2108"/>
      <c r="L88" s="2108"/>
      <c r="M88" s="2108"/>
      <c r="N88" s="2108"/>
      <c r="O88" s="2108"/>
      <c r="P88" s="2137"/>
      <c r="Q88" s="1070"/>
    </row>
    <row r="89" spans="1:17" s="1057" customFormat="1" ht="21" customHeight="1" thickBot="1">
      <c r="A89" s="1063"/>
      <c r="B89" s="2138" t="s">
        <v>191</v>
      </c>
      <c r="C89" s="2139"/>
      <c r="D89" s="2139"/>
      <c r="E89" s="2139"/>
      <c r="F89" s="2139"/>
      <c r="G89" s="2139"/>
      <c r="H89" s="2139"/>
      <c r="I89" s="2139"/>
      <c r="J89" s="2139"/>
      <c r="K89" s="2139"/>
      <c r="L89" s="2139"/>
      <c r="M89" s="2139"/>
      <c r="N89" s="2139"/>
      <c r="O89" s="2139"/>
      <c r="P89" s="2140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141" t="s">
        <v>192</v>
      </c>
      <c r="C99" s="2141"/>
      <c r="D99" s="2141"/>
      <c r="E99" s="2141"/>
      <c r="F99" s="2141"/>
      <c r="G99" s="2141"/>
      <c r="H99" s="2141"/>
      <c r="I99" s="2141"/>
      <c r="J99" s="2141"/>
      <c r="K99" s="2141"/>
      <c r="L99" s="2141"/>
      <c r="M99" s="2141"/>
      <c r="N99" s="2141"/>
      <c r="O99" s="2141"/>
      <c r="P99" s="2141"/>
      <c r="Q99" s="1064"/>
    </row>
    <row r="100" spans="1:17">
      <c r="A100" s="1063"/>
      <c r="B100" s="2142"/>
      <c r="C100" s="2142"/>
      <c r="D100" s="2142"/>
      <c r="E100" s="2142"/>
      <c r="F100" s="2142"/>
      <c r="G100" s="2142"/>
      <c r="H100" s="2142"/>
      <c r="I100" s="2142"/>
      <c r="J100" s="2142"/>
      <c r="K100" s="2142"/>
      <c r="L100" s="2142"/>
      <c r="M100" s="2142"/>
      <c r="N100" s="2142"/>
      <c r="O100" s="2142"/>
      <c r="P100" s="2142"/>
      <c r="Q100" s="1061"/>
    </row>
    <row r="101" spans="1:17">
      <c r="A101" s="1063"/>
      <c r="B101" s="2142"/>
      <c r="C101" s="2142"/>
      <c r="D101" s="2142"/>
      <c r="E101" s="2142"/>
      <c r="F101" s="2142"/>
      <c r="G101" s="2142"/>
      <c r="H101" s="2142"/>
      <c r="I101" s="2142"/>
      <c r="J101" s="2142"/>
      <c r="K101" s="2142"/>
      <c r="L101" s="2142"/>
      <c r="M101" s="2142"/>
      <c r="N101" s="2142"/>
      <c r="O101" s="2142"/>
      <c r="P101" s="2142"/>
      <c r="Q101" s="1061"/>
    </row>
    <row r="102" spans="1:17" ht="15.75" thickBot="1">
      <c r="A102" s="1060"/>
      <c r="B102" s="2143"/>
      <c r="C102" s="2143"/>
      <c r="D102" s="2143"/>
      <c r="E102" s="2143"/>
      <c r="F102" s="2143"/>
      <c r="G102" s="2143"/>
      <c r="H102" s="2143"/>
      <c r="I102" s="2143"/>
      <c r="J102" s="2143"/>
      <c r="K102" s="2143"/>
      <c r="L102" s="2143"/>
      <c r="M102" s="2143"/>
      <c r="N102" s="2143"/>
      <c r="O102" s="2143"/>
      <c r="P102" s="2143"/>
      <c r="Q102" s="1059"/>
    </row>
  </sheetData>
  <mergeCells count="52"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2"/>
      <c r="B2" s="1643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342"/>
      <c r="P2" s="343"/>
    </row>
    <row r="3" spans="1:16" ht="9.9499999999999993" customHeight="1">
      <c r="A3" s="1645"/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6"/>
      <c r="D6" s="1646"/>
      <c r="E6" s="1646"/>
      <c r="F6" s="1646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7"/>
      <c r="D7" s="1647"/>
      <c r="E7" s="1647"/>
      <c r="F7" s="1647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8"/>
      <c r="D8" s="1648"/>
      <c r="E8" s="1648"/>
      <c r="F8" s="1648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9" t="s">
        <v>361</v>
      </c>
      <c r="G9" s="1649"/>
      <c r="H9" s="1650">
        <f ca="1">TODAY()</f>
        <v>45978</v>
      </c>
      <c r="I9" s="1650"/>
      <c r="J9" s="1650"/>
      <c r="K9" s="1650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1"/>
      <c r="D10" s="1651"/>
      <c r="E10" s="1651"/>
      <c r="F10" s="1651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2" t="s">
        <v>581</v>
      </c>
      <c r="C12" s="1652"/>
      <c r="D12" s="1652"/>
      <c r="E12" s="1652"/>
      <c r="F12" s="1652"/>
      <c r="G12" s="1652"/>
      <c r="H12" s="1652"/>
      <c r="I12" s="1652"/>
      <c r="J12" s="1652"/>
      <c r="K12" s="1652"/>
      <c r="L12" s="1652"/>
      <c r="M12" s="1652"/>
      <c r="N12" s="1652"/>
      <c r="O12" s="1652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3" t="s">
        <v>173</v>
      </c>
      <c r="C14" s="1654"/>
      <c r="D14" s="1654"/>
      <c r="E14" s="1654"/>
      <c r="F14" s="1654"/>
      <c r="G14" s="1655"/>
      <c r="H14" s="368"/>
      <c r="I14" s="1653" t="s">
        <v>174</v>
      </c>
      <c r="J14" s="1654"/>
      <c r="K14" s="1654"/>
      <c r="L14" s="1654"/>
      <c r="M14" s="1654"/>
      <c r="N14" s="1654"/>
      <c r="O14" s="1655"/>
      <c r="P14" s="369"/>
    </row>
    <row r="15" spans="1:16" ht="9.9499999999999993" customHeight="1">
      <c r="A15" s="367"/>
      <c r="B15" s="1656"/>
      <c r="C15" s="1657"/>
      <c r="D15" s="1657"/>
      <c r="E15" s="1657"/>
      <c r="F15" s="1657"/>
      <c r="G15" s="1658"/>
      <c r="H15" s="368"/>
      <c r="I15" s="1656"/>
      <c r="J15" s="1657"/>
      <c r="K15" s="1657"/>
      <c r="L15" s="1657"/>
      <c r="M15" s="1657"/>
      <c r="N15" s="1657"/>
      <c r="O15" s="1658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9" t="s">
        <v>284</v>
      </c>
      <c r="K16" s="1660"/>
      <c r="L16" s="1660"/>
      <c r="M16" s="1661"/>
      <c r="N16" s="166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60"/>
      <c r="K17" s="1660"/>
      <c r="L17" s="1660"/>
      <c r="M17" s="1661"/>
      <c r="N17" s="166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60"/>
      <c r="K18" s="1660"/>
      <c r="L18" s="1660"/>
      <c r="M18" s="1661"/>
      <c r="N18" s="1662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177</v>
      </c>
      <c r="E19" s="379"/>
      <c r="F19" s="384"/>
      <c r="G19" s="385"/>
      <c r="H19" s="368"/>
      <c r="I19" s="376"/>
      <c r="J19" s="1660"/>
      <c r="K19" s="1660"/>
      <c r="L19" s="1660"/>
      <c r="M19" s="1661"/>
      <c r="N19" s="166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60"/>
      <c r="K20" s="1660"/>
      <c r="L20" s="1660"/>
      <c r="M20" s="1661"/>
      <c r="N20" s="166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60"/>
      <c r="K21" s="1660"/>
      <c r="L21" s="1660"/>
      <c r="M21" s="1661"/>
      <c r="N21" s="166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60"/>
      <c r="K22" s="1660"/>
      <c r="L22" s="1660"/>
      <c r="M22" s="1661"/>
      <c r="N22" s="166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3"/>
      <c r="K23" s="1663"/>
      <c r="L23" s="1663"/>
      <c r="M23" s="1664"/>
      <c r="N23" s="166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3" t="s">
        <v>181</v>
      </c>
      <c r="C25" s="1654"/>
      <c r="D25" s="1654"/>
      <c r="E25" s="1654"/>
      <c r="F25" s="1654"/>
      <c r="G25" s="1655"/>
      <c r="H25" s="391"/>
      <c r="I25" s="1653" t="s">
        <v>358</v>
      </c>
      <c r="J25" s="1654"/>
      <c r="K25" s="1654"/>
      <c r="L25" s="1654"/>
      <c r="M25" s="1654"/>
      <c r="N25" s="1654"/>
      <c r="O25" s="1655"/>
      <c r="P25" s="369"/>
    </row>
    <row r="26" spans="1:17" ht="9.9499999999999993" customHeight="1">
      <c r="A26" s="367"/>
      <c r="B26" s="1656"/>
      <c r="C26" s="1657"/>
      <c r="D26" s="1657"/>
      <c r="E26" s="1657"/>
      <c r="F26" s="1657"/>
      <c r="G26" s="1658"/>
      <c r="H26" s="391"/>
      <c r="I26" s="1656"/>
      <c r="J26" s="1657"/>
      <c r="K26" s="1657"/>
      <c r="L26" s="1657"/>
      <c r="M26" s="1657"/>
      <c r="N26" s="1657"/>
      <c r="O26" s="1658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6" t="s">
        <v>582</v>
      </c>
      <c r="D28" s="1667"/>
      <c r="E28" s="1667"/>
      <c r="F28" s="1667"/>
      <c r="G28" s="1939"/>
      <c r="H28" s="368"/>
      <c r="I28" s="1668" t="s">
        <v>285</v>
      </c>
      <c r="J28" s="1669"/>
      <c r="K28" s="1669"/>
      <c r="L28" s="1669"/>
      <c r="M28" s="1669"/>
      <c r="N28" s="1669"/>
      <c r="O28" s="1670"/>
      <c r="P28" s="369"/>
    </row>
    <row r="29" spans="1:17" ht="11.25" customHeight="1">
      <c r="A29" s="367"/>
      <c r="B29" s="402"/>
      <c r="C29" s="666" t="s">
        <v>448</v>
      </c>
      <c r="D29" s="396"/>
      <c r="E29" s="396"/>
      <c r="F29" s="124"/>
      <c r="G29" s="125" t="s">
        <v>182</v>
      </c>
      <c r="H29" s="368"/>
      <c r="I29" s="1668"/>
      <c r="J29" s="1669"/>
      <c r="K29" s="1669"/>
      <c r="L29" s="1669"/>
      <c r="M29" s="1669"/>
      <c r="N29" s="1669"/>
      <c r="O29" s="1670"/>
      <c r="P29" s="369"/>
      <c r="Q29" s="493"/>
    </row>
    <row r="30" spans="1:17" ht="9.9499999999999993" customHeight="1">
      <c r="A30" s="367"/>
      <c r="B30" s="402"/>
      <c r="C30" s="666" t="s">
        <v>449</v>
      </c>
      <c r="D30" s="396"/>
      <c r="E30" s="396"/>
      <c r="F30" s="124"/>
      <c r="G30" s="125" t="s">
        <v>183</v>
      </c>
      <c r="H30" s="368"/>
      <c r="I30" s="419"/>
      <c r="J30" s="1671"/>
      <c r="K30" s="1671"/>
      <c r="L30" s="1671"/>
      <c r="M30" s="1671"/>
      <c r="N30" s="1671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2" t="s">
        <v>184</v>
      </c>
      <c r="F38" s="1673"/>
      <c r="G38" s="1673"/>
      <c r="H38" s="1673"/>
      <c r="I38" s="1673"/>
      <c r="J38" s="1673"/>
      <c r="K38" s="1673"/>
      <c r="L38" s="1673"/>
      <c r="O38" s="380"/>
      <c r="P38" s="369"/>
    </row>
    <row r="39" spans="1:16" ht="9.9499999999999993" customHeight="1">
      <c r="A39" s="367"/>
      <c r="B39" s="402"/>
      <c r="C39" s="439"/>
      <c r="D39" s="125"/>
      <c r="E39" s="1672"/>
      <c r="F39" s="1673"/>
      <c r="G39" s="1673"/>
      <c r="H39" s="1673"/>
      <c r="I39" s="1673"/>
      <c r="J39" s="1673"/>
      <c r="K39" s="1673"/>
      <c r="L39" s="1673"/>
      <c r="O39" s="380"/>
      <c r="P39" s="369"/>
    </row>
    <row r="40" spans="1:16" ht="9.9499999999999993" customHeight="1">
      <c r="A40" s="367"/>
      <c r="B40" s="402"/>
      <c r="C40" s="428"/>
      <c r="D40" s="125"/>
      <c r="E40" s="1674" t="s">
        <v>360</v>
      </c>
      <c r="F40" s="1675"/>
      <c r="G40" s="1675"/>
      <c r="H40" s="1675"/>
      <c r="I40" s="1675"/>
      <c r="J40" s="1675"/>
      <c r="K40" s="1675"/>
      <c r="L40" s="1676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9" t="s">
        <v>31</v>
      </c>
      <c r="F46" s="1690"/>
      <c r="G46" s="1690"/>
      <c r="H46" s="1690"/>
      <c r="I46" s="1690"/>
      <c r="J46" s="1690"/>
      <c r="K46" s="1690"/>
      <c r="L46" s="1691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2" t="s">
        <v>186</v>
      </c>
      <c r="C48" s="1693"/>
      <c r="D48" s="1693"/>
      <c r="E48" s="1693"/>
      <c r="F48" s="1693"/>
      <c r="G48" s="1693"/>
      <c r="H48" s="1693"/>
      <c r="I48" s="1693"/>
      <c r="J48" s="1693"/>
      <c r="K48" s="1693"/>
      <c r="L48" s="1693"/>
      <c r="M48" s="1693"/>
      <c r="N48" s="1693"/>
      <c r="O48" s="1694"/>
      <c r="P48" s="369"/>
    </row>
    <row r="49" spans="1:16" ht="9.9499999999999993" customHeight="1">
      <c r="A49" s="367"/>
      <c r="B49" s="1672"/>
      <c r="C49" s="1673"/>
      <c r="D49" s="1673"/>
      <c r="E49" s="1673"/>
      <c r="F49" s="1673"/>
      <c r="G49" s="1673"/>
      <c r="H49" s="1673"/>
      <c r="I49" s="1673"/>
      <c r="J49" s="1673"/>
      <c r="K49" s="1673"/>
      <c r="L49" s="1673"/>
      <c r="M49" s="1673"/>
      <c r="N49" s="1673"/>
      <c r="O49" s="1695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387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1"/>
      <c r="G55" s="1681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2"/>
      <c r="C57" s="1696"/>
      <c r="D57" s="1696"/>
      <c r="E57" s="1696"/>
      <c r="F57" s="1696"/>
      <c r="G57" s="1696"/>
      <c r="H57" s="1696"/>
      <c r="I57" s="1696"/>
      <c r="J57" s="1696"/>
      <c r="K57" s="1696"/>
      <c r="L57" s="1696"/>
      <c r="M57" s="1696"/>
      <c r="N57" s="1696"/>
      <c r="O57" s="1697"/>
      <c r="P57" s="395"/>
    </row>
    <row r="58" spans="1:16" ht="9.9499999999999993" customHeight="1">
      <c r="A58" s="394"/>
      <c r="B58" s="1698"/>
      <c r="C58" s="1699"/>
      <c r="D58" s="1699"/>
      <c r="E58" s="1699"/>
      <c r="F58" s="1699"/>
      <c r="G58" s="1699"/>
      <c r="H58" s="1699"/>
      <c r="I58" s="1699"/>
      <c r="J58" s="1699"/>
      <c r="K58" s="1699"/>
      <c r="L58" s="1699"/>
      <c r="M58" s="1699"/>
      <c r="N58" s="1699"/>
      <c r="O58" s="1700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0"/>
      <c r="D61" s="1820"/>
      <c r="E61" s="1820"/>
      <c r="F61" s="1820"/>
      <c r="G61" s="1820"/>
      <c r="H61" s="1820"/>
      <c r="I61" s="1820"/>
      <c r="J61" s="1820"/>
      <c r="K61" s="1820"/>
      <c r="L61" s="1820"/>
      <c r="M61" s="1820"/>
      <c r="N61" s="1820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2" t="s">
        <v>189</v>
      </c>
      <c r="C72" s="1703"/>
      <c r="D72" s="1703"/>
      <c r="E72" s="1703"/>
      <c r="F72" s="1703"/>
      <c r="G72" s="1703"/>
      <c r="H72" s="1703"/>
      <c r="I72" s="1703"/>
      <c r="J72" s="1703"/>
      <c r="K72" s="1703"/>
      <c r="L72" s="1703"/>
      <c r="M72" s="1703"/>
      <c r="N72" s="1703"/>
      <c r="O72" s="1704"/>
    </row>
    <row r="73" spans="1:16">
      <c r="B73" s="1705"/>
      <c r="C73" s="1706"/>
      <c r="D73" s="1706"/>
      <c r="E73" s="1706"/>
      <c r="F73" s="1706"/>
      <c r="G73" s="1706"/>
      <c r="H73" s="1706"/>
      <c r="I73" s="1706"/>
      <c r="J73" s="1706"/>
      <c r="K73" s="1706"/>
      <c r="L73" s="1706"/>
      <c r="M73" s="1706"/>
      <c r="N73" s="1706"/>
      <c r="O73" s="1707"/>
    </row>
    <row r="74" spans="1:16">
      <c r="B74" s="1677" t="s">
        <v>190</v>
      </c>
      <c r="C74" s="1678"/>
      <c r="D74" s="1678"/>
      <c r="E74" s="1678"/>
      <c r="F74" s="1678"/>
      <c r="G74" s="1678"/>
      <c r="H74" s="1678"/>
      <c r="I74" s="1678"/>
      <c r="J74" s="1678"/>
      <c r="K74" s="1678"/>
      <c r="L74" s="1678"/>
      <c r="M74" s="1678"/>
      <c r="N74" s="1678"/>
      <c r="O74" s="1679"/>
    </row>
    <row r="75" spans="1:16" ht="9.9499999999999993" customHeight="1">
      <c r="B75" s="1680" t="s">
        <v>191</v>
      </c>
      <c r="C75" s="1681"/>
      <c r="D75" s="1681"/>
      <c r="E75" s="1681"/>
      <c r="F75" s="1681"/>
      <c r="G75" s="1681"/>
      <c r="H75" s="1681"/>
      <c r="I75" s="1681"/>
      <c r="J75" s="1681"/>
      <c r="K75" s="1681"/>
      <c r="L75" s="1681"/>
      <c r="M75" s="1681"/>
      <c r="N75" s="1681"/>
      <c r="O75" s="1682"/>
    </row>
    <row r="76" spans="1:16" ht="13.5" customHeight="1">
      <c r="B76" s="1683" t="s">
        <v>192</v>
      </c>
      <c r="C76" s="1684"/>
      <c r="D76" s="1684"/>
      <c r="E76" s="1684"/>
      <c r="F76" s="1684"/>
      <c r="G76" s="1684"/>
      <c r="H76" s="1684"/>
      <c r="I76" s="1684"/>
      <c r="J76" s="1684"/>
      <c r="K76" s="1684"/>
      <c r="L76" s="1684"/>
      <c r="M76" s="1684"/>
      <c r="N76" s="1684"/>
      <c r="O76" s="1685"/>
    </row>
    <row r="77" spans="1:16">
      <c r="B77" s="1686"/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8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742" customWidth="1"/>
    <col min="2" max="2" width="13.28515625" style="742" customWidth="1"/>
    <col min="3" max="3" width="13.42578125" style="742" customWidth="1"/>
    <col min="4" max="4" width="1.85546875" style="742" customWidth="1"/>
    <col min="5" max="5" width="15" style="742" customWidth="1"/>
    <col min="6" max="6" width="39.7109375" style="742" bestFit="1" customWidth="1"/>
    <col min="7" max="7" width="9.42578125" style="742" customWidth="1"/>
    <col min="8" max="13" width="9.7109375" style="742" customWidth="1"/>
    <col min="14" max="14" width="1.7109375" style="742" customWidth="1"/>
    <col min="15" max="17" width="19.140625" style="742" customWidth="1"/>
    <col min="18" max="16384" width="8.7109375" style="742"/>
  </cols>
  <sheetData>
    <row r="1" spans="1:17" customFormat="1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7" customFormat="1" ht="26.25">
      <c r="A2" s="40"/>
      <c r="B2" s="41"/>
      <c r="C2" s="1792" t="s">
        <v>570</v>
      </c>
      <c r="D2" s="1792"/>
      <c r="E2" s="1792"/>
      <c r="F2" s="1792"/>
      <c r="G2" s="1792"/>
      <c r="H2" s="1792"/>
      <c r="I2" s="1792"/>
      <c r="J2" s="1792"/>
      <c r="K2" s="1792"/>
      <c r="L2" s="1792"/>
      <c r="M2" s="1792"/>
    </row>
    <row r="3" spans="1:17" customFormat="1" ht="31.5" thickBot="1">
      <c r="A3" s="42"/>
      <c r="B3" s="43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7" customFormat="1" ht="31.5" thickBot="1">
      <c r="A4" s="47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7" customFormat="1" ht="15.7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O5" s="477"/>
      <c r="P5" s="657" t="s">
        <v>571</v>
      </c>
      <c r="Q5" s="479"/>
    </row>
    <row r="6" spans="1:17" ht="19.5" thickBot="1">
      <c r="A6" s="776"/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471"/>
      <c r="P6" s="471"/>
      <c r="Q6" s="471"/>
    </row>
    <row r="7" spans="1:17" ht="15.75" customHeight="1" thickBot="1">
      <c r="A7" s="1944" t="s">
        <v>578</v>
      </c>
      <c r="B7" s="1945"/>
      <c r="C7" s="1946"/>
      <c r="D7" s="744"/>
      <c r="E7" s="1944" t="s">
        <v>457</v>
      </c>
      <c r="F7" s="1945"/>
      <c r="G7" s="1945"/>
      <c r="H7" s="1945"/>
      <c r="I7" s="1945"/>
      <c r="J7" s="1945"/>
      <c r="K7" s="1945"/>
      <c r="L7" s="1945"/>
      <c r="M7" s="1945"/>
      <c r="O7" s="494" t="s">
        <v>207</v>
      </c>
      <c r="P7" s="495" t="s">
        <v>208</v>
      </c>
      <c r="Q7" s="495" t="s">
        <v>209</v>
      </c>
    </row>
    <row r="8" spans="1:17" ht="15" thickBot="1">
      <c r="A8" s="787" t="s">
        <v>3</v>
      </c>
      <c r="B8" s="981" t="s">
        <v>579</v>
      </c>
      <c r="C8" s="981" t="s">
        <v>420</v>
      </c>
      <c r="D8" s="745"/>
      <c r="E8" s="983" t="s">
        <v>462</v>
      </c>
      <c r="F8" s="784"/>
      <c r="G8" s="804" t="s">
        <v>513</v>
      </c>
      <c r="H8" s="804" t="s">
        <v>17</v>
      </c>
      <c r="I8" s="804" t="s">
        <v>18</v>
      </c>
      <c r="J8" s="804" t="s">
        <v>19</v>
      </c>
      <c r="K8" s="804" t="s">
        <v>20</v>
      </c>
      <c r="L8" s="804" t="s">
        <v>21</v>
      </c>
      <c r="M8" s="804" t="s">
        <v>22</v>
      </c>
      <c r="O8" s="471"/>
      <c r="P8" s="471"/>
      <c r="Q8" s="471"/>
    </row>
    <row r="9" spans="1:17" ht="15" customHeight="1">
      <c r="A9" s="746">
        <f>margins!CU17</f>
        <v>0</v>
      </c>
      <c r="B9" s="746">
        <f>margins!CV17-margins!$CX$3</f>
        <v>0</v>
      </c>
      <c r="C9" s="746">
        <f>margins!CW17-margins!$CX$3</f>
        <v>0</v>
      </c>
      <c r="D9" s="747"/>
      <c r="E9" s="2163" t="s">
        <v>573</v>
      </c>
      <c r="F9" s="748" t="s">
        <v>116</v>
      </c>
      <c r="G9" s="984">
        <v>0.25</v>
      </c>
      <c r="H9" s="985">
        <v>0</v>
      </c>
      <c r="I9" s="985">
        <v>-0.125</v>
      </c>
      <c r="J9" s="985">
        <v>-0.375</v>
      </c>
      <c r="K9" s="985">
        <v>-0.375</v>
      </c>
      <c r="L9" s="985">
        <v>-0.625</v>
      </c>
      <c r="M9" s="1009">
        <v>-1.875</v>
      </c>
      <c r="O9" s="480" t="s">
        <v>210</v>
      </c>
      <c r="P9" s="484" t="s">
        <v>204</v>
      </c>
      <c r="Q9" s="488"/>
    </row>
    <row r="10" spans="1:17" ht="15" customHeight="1">
      <c r="A10" s="746">
        <f>margins!CU18</f>
        <v>0</v>
      </c>
      <c r="B10" s="746">
        <f>margins!CV18-margins!$CX$3</f>
        <v>0</v>
      </c>
      <c r="C10" s="746">
        <f>margins!CW18-margins!$CX$3</f>
        <v>0</v>
      </c>
      <c r="D10" s="747"/>
      <c r="E10" s="2164"/>
      <c r="F10" s="749" t="s">
        <v>323</v>
      </c>
      <c r="G10" s="795">
        <v>0.125</v>
      </c>
      <c r="H10" s="793">
        <v>-0.125</v>
      </c>
      <c r="I10" s="793">
        <v>-0.25</v>
      </c>
      <c r="J10" s="793">
        <v>-0.5</v>
      </c>
      <c r="K10" s="793">
        <v>-0.5</v>
      </c>
      <c r="L10" s="793">
        <v>-0.875</v>
      </c>
      <c r="M10" s="800">
        <v>-2.375</v>
      </c>
      <c r="O10" s="481" t="s">
        <v>211</v>
      </c>
      <c r="P10" s="485">
        <v>7.4989999999999997</v>
      </c>
      <c r="Q10" s="489" t="e">
        <f>IF(P9="7/6 Arm",VLOOKUP(P10,$A$8:$C$25,3,FALSE),IF(P9="5/6 Arm",VLOOKUP(P10,$A$8:$C$25,2,FALSE),VLOOKUP(P10,$A$8:$C$25,4,FALSE)))</f>
        <v>#N/A</v>
      </c>
    </row>
    <row r="11" spans="1:17" ht="15">
      <c r="A11" s="746">
        <f>margins!CU19</f>
        <v>0</v>
      </c>
      <c r="B11" s="746">
        <f>margins!CV19-margins!$CX$3</f>
        <v>0</v>
      </c>
      <c r="C11" s="746">
        <f>margins!CW19-margins!$CX$3</f>
        <v>0</v>
      </c>
      <c r="D11" s="747"/>
      <c r="E11" s="2164"/>
      <c r="F11" s="749" t="s">
        <v>322</v>
      </c>
      <c r="G11" s="795">
        <v>-0.125</v>
      </c>
      <c r="H11" s="793">
        <v>-0.25</v>
      </c>
      <c r="I11" s="793">
        <v>-0.375</v>
      </c>
      <c r="J11" s="793">
        <v>-0.75</v>
      </c>
      <c r="K11" s="793">
        <v>-0.75</v>
      </c>
      <c r="L11" s="793">
        <v>-1</v>
      </c>
      <c r="M11" s="800">
        <v>-2.375</v>
      </c>
      <c r="O11" s="481" t="s">
        <v>386</v>
      </c>
      <c r="P11" s="485" t="s">
        <v>15</v>
      </c>
      <c r="Q11" s="489"/>
    </row>
    <row r="12" spans="1:17" ht="15">
      <c r="A12" s="746">
        <f>margins!CU20</f>
        <v>0</v>
      </c>
      <c r="B12" s="746">
        <f>margins!CV20-margins!$CX$3</f>
        <v>0</v>
      </c>
      <c r="C12" s="746">
        <f>margins!CW20-margins!$CX$3</f>
        <v>0</v>
      </c>
      <c r="D12" s="747"/>
      <c r="E12" s="2164"/>
      <c r="F12" s="749" t="s">
        <v>426</v>
      </c>
      <c r="G12" s="795">
        <v>-0.25</v>
      </c>
      <c r="H12" s="793">
        <v>-0.375</v>
      </c>
      <c r="I12" s="793">
        <v>-0.5</v>
      </c>
      <c r="J12" s="793">
        <v>-0.75</v>
      </c>
      <c r="K12" s="793">
        <v>-1.25</v>
      </c>
      <c r="L12" s="793">
        <v>-1.375</v>
      </c>
      <c r="M12" s="800">
        <v>-3.25</v>
      </c>
      <c r="O12" s="481" t="s">
        <v>212</v>
      </c>
      <c r="P12" s="485" t="s">
        <v>322</v>
      </c>
      <c r="Q12" s="489">
        <f>IFERROR(INDEX($G$9:$M$13,MATCH(P12,$F$9:$F$13,0),MATCH($P$11,$G$8:$M$8,0),1),0)</f>
        <v>0</v>
      </c>
    </row>
    <row r="13" spans="1:17" ht="15">
      <c r="A13" s="746">
        <f>margins!CU21</f>
        <v>0</v>
      </c>
      <c r="B13" s="746">
        <f>margins!CV21-margins!$CX$3</f>
        <v>0</v>
      </c>
      <c r="C13" s="746">
        <f>margins!CW21-margins!$CX$3</f>
        <v>0</v>
      </c>
      <c r="D13" s="747"/>
      <c r="E13" s="2164"/>
      <c r="F13" s="749" t="s">
        <v>320</v>
      </c>
      <c r="G13" s="795">
        <v>-0.375</v>
      </c>
      <c r="H13" s="793">
        <v>-0.75</v>
      </c>
      <c r="I13" s="793">
        <v>-0.875</v>
      </c>
      <c r="J13" s="793">
        <v>-1.25</v>
      </c>
      <c r="K13" s="793">
        <v>-1.5</v>
      </c>
      <c r="L13" s="793">
        <v>-2.125</v>
      </c>
      <c r="M13" s="800" t="s">
        <v>514</v>
      </c>
      <c r="O13" s="481" t="s">
        <v>462</v>
      </c>
      <c r="P13" s="485" t="s">
        <v>203</v>
      </c>
      <c r="Q13" s="489">
        <f t="shared" ref="Q13:Q19" si="0">IFERROR(INDEX($G$25:$M$29,MATCH(P13,$F$25:$F$29,0),MATCH($P$11,$G$23:$M$23,0),1),0)</f>
        <v>0</v>
      </c>
    </row>
    <row r="14" spans="1:17" ht="15.75" thickBot="1">
      <c r="A14" s="746">
        <f>margins!CU22</f>
        <v>0</v>
      </c>
      <c r="B14" s="746">
        <f>margins!CV22-margins!$CX$3</f>
        <v>0</v>
      </c>
      <c r="C14" s="746">
        <f>margins!CW22-margins!$CX$3</f>
        <v>0</v>
      </c>
      <c r="D14" s="747"/>
      <c r="E14" s="2165"/>
      <c r="F14" s="749" t="s">
        <v>319</v>
      </c>
      <c r="G14" s="795">
        <v>-1</v>
      </c>
      <c r="H14" s="793">
        <v>-1.25</v>
      </c>
      <c r="I14" s="793">
        <v>-1.625</v>
      </c>
      <c r="J14" s="793">
        <v>-2.125</v>
      </c>
      <c r="K14" s="793">
        <v>-2.75</v>
      </c>
      <c r="L14" s="793">
        <v>-3.25</v>
      </c>
      <c r="M14" s="800" t="s">
        <v>514</v>
      </c>
      <c r="O14" s="481" t="s">
        <v>63</v>
      </c>
      <c r="P14" s="485" t="s">
        <v>203</v>
      </c>
      <c r="Q14" s="489">
        <f t="shared" si="0"/>
        <v>0</v>
      </c>
    </row>
    <row r="15" spans="1:17" ht="15" customHeight="1">
      <c r="A15" s="746">
        <f>margins!CU23</f>
        <v>0</v>
      </c>
      <c r="B15" s="746">
        <f>margins!CV23-margins!$CX$3</f>
        <v>0</v>
      </c>
      <c r="C15" s="746">
        <f>margins!CW23-margins!$CX$3</f>
        <v>0</v>
      </c>
      <c r="D15" s="747"/>
      <c r="E15" s="2163" t="s">
        <v>572</v>
      </c>
      <c r="F15" s="748" t="s">
        <v>116</v>
      </c>
      <c r="G15" s="984">
        <v>0.125</v>
      </c>
      <c r="H15" s="985">
        <v>0</v>
      </c>
      <c r="I15" s="985">
        <v>-0.125</v>
      </c>
      <c r="J15" s="985">
        <v>-0.5</v>
      </c>
      <c r="K15" s="985">
        <v>-0.5</v>
      </c>
      <c r="L15" s="985">
        <v>-0.75</v>
      </c>
      <c r="M15" s="1009" t="s">
        <v>514</v>
      </c>
      <c r="O15" s="481" t="s">
        <v>451</v>
      </c>
      <c r="P15" s="485" t="s">
        <v>203</v>
      </c>
      <c r="Q15" s="489">
        <f t="shared" si="0"/>
        <v>0</v>
      </c>
    </row>
    <row r="16" spans="1:17" ht="15">
      <c r="A16" s="746">
        <f>margins!CU24</f>
        <v>0</v>
      </c>
      <c r="B16" s="746">
        <f>margins!CV24-margins!$CX$3</f>
        <v>0</v>
      </c>
      <c r="C16" s="746">
        <f>margins!CW24-margins!$CX$3</f>
        <v>0</v>
      </c>
      <c r="D16" s="747"/>
      <c r="E16" s="2164"/>
      <c r="F16" s="749" t="s">
        <v>323</v>
      </c>
      <c r="G16" s="795">
        <v>0</v>
      </c>
      <c r="H16" s="793">
        <v>-0.125</v>
      </c>
      <c r="I16" s="793">
        <v>-0.25</v>
      </c>
      <c r="J16" s="793">
        <v>-0.625</v>
      </c>
      <c r="K16" s="793">
        <v>-0.625</v>
      </c>
      <c r="L16" s="793">
        <v>-1</v>
      </c>
      <c r="M16" s="800" t="s">
        <v>514</v>
      </c>
      <c r="O16" s="481" t="s">
        <v>45</v>
      </c>
      <c r="P16" s="485" t="s">
        <v>203</v>
      </c>
      <c r="Q16" s="489">
        <f t="shared" si="0"/>
        <v>0</v>
      </c>
    </row>
    <row r="17" spans="1:17" ht="15" customHeight="1">
      <c r="A17" s="746">
        <f>margins!CU25</f>
        <v>0</v>
      </c>
      <c r="B17" s="746">
        <f>margins!CV25-margins!$CX$3</f>
        <v>0</v>
      </c>
      <c r="C17" s="746">
        <f>margins!CW25-margins!$CX$3</f>
        <v>0</v>
      </c>
      <c r="D17" s="756"/>
      <c r="E17" s="2164"/>
      <c r="F17" s="749" t="s">
        <v>322</v>
      </c>
      <c r="G17" s="795">
        <v>-0.125</v>
      </c>
      <c r="H17" s="793">
        <v>-0.125</v>
      </c>
      <c r="I17" s="793">
        <v>-0.375</v>
      </c>
      <c r="J17" s="793">
        <v>-0.75</v>
      </c>
      <c r="K17" s="793">
        <v>-0.75</v>
      </c>
      <c r="L17" s="793">
        <v>-1.125</v>
      </c>
      <c r="M17" s="800" t="s">
        <v>514</v>
      </c>
      <c r="O17" s="481" t="s">
        <v>381</v>
      </c>
      <c r="P17" s="485" t="s">
        <v>203</v>
      </c>
      <c r="Q17" s="489">
        <f t="shared" si="0"/>
        <v>0</v>
      </c>
    </row>
    <row r="18" spans="1:17" ht="15" customHeight="1">
      <c r="A18" s="746">
        <f>margins!CU26</f>
        <v>0</v>
      </c>
      <c r="B18" s="746">
        <f>margins!CV26-margins!$CX$3</f>
        <v>0</v>
      </c>
      <c r="C18" s="746">
        <f>margins!CW26-margins!$CX$3</f>
        <v>0</v>
      </c>
      <c r="D18" s="747"/>
      <c r="E18" s="2164"/>
      <c r="F18" s="749" t="s">
        <v>426</v>
      </c>
      <c r="G18" s="795">
        <v>-0.125</v>
      </c>
      <c r="H18" s="793">
        <v>-0.375</v>
      </c>
      <c r="I18" s="793">
        <v>-0.5</v>
      </c>
      <c r="J18" s="793">
        <v>-0.875</v>
      </c>
      <c r="K18" s="793">
        <v>-1.25</v>
      </c>
      <c r="L18" s="793">
        <v>-1.5</v>
      </c>
      <c r="M18" s="800" t="s">
        <v>514</v>
      </c>
      <c r="O18" s="481" t="s">
        <v>452</v>
      </c>
      <c r="P18" s="485" t="s">
        <v>203</v>
      </c>
      <c r="Q18" s="489">
        <f t="shared" si="0"/>
        <v>0</v>
      </c>
    </row>
    <row r="19" spans="1:17" ht="15" customHeight="1">
      <c r="A19" s="746">
        <f>margins!CU27</f>
        <v>0</v>
      </c>
      <c r="B19" s="746">
        <f>margins!CV27-margins!$CX$3</f>
        <v>0</v>
      </c>
      <c r="C19" s="746">
        <f>margins!CW27-margins!$CX$3</f>
        <v>0</v>
      </c>
      <c r="D19" s="747"/>
      <c r="E19" s="2164"/>
      <c r="F19" s="749" t="s">
        <v>320</v>
      </c>
      <c r="G19" s="795">
        <v>-0.625</v>
      </c>
      <c r="H19" s="793">
        <v>-0.75</v>
      </c>
      <c r="I19" s="793">
        <v>-0.75</v>
      </c>
      <c r="J19" s="793">
        <v>-1.125</v>
      </c>
      <c r="K19" s="793">
        <v>-1.75</v>
      </c>
      <c r="L19" s="793" t="s">
        <v>514</v>
      </c>
      <c r="M19" s="800" t="s">
        <v>514</v>
      </c>
      <c r="O19" s="481" t="s">
        <v>453</v>
      </c>
      <c r="P19" s="485" t="s">
        <v>203</v>
      </c>
      <c r="Q19" s="489">
        <f t="shared" si="0"/>
        <v>0</v>
      </c>
    </row>
    <row r="20" spans="1:17" ht="15" customHeight="1" thickBot="1">
      <c r="A20" s="746">
        <f>margins!CU28</f>
        <v>0</v>
      </c>
      <c r="B20" s="746">
        <f>margins!CV28-margins!$CX$3</f>
        <v>0</v>
      </c>
      <c r="C20" s="746">
        <f>margins!CW28-margins!$CX$3</f>
        <v>0</v>
      </c>
      <c r="D20" s="747"/>
      <c r="E20" s="2165"/>
      <c r="F20" s="751" t="s">
        <v>319</v>
      </c>
      <c r="G20" s="797">
        <v>-1</v>
      </c>
      <c r="H20" s="798">
        <v>-1.25</v>
      </c>
      <c r="I20" s="798">
        <v>-1.625</v>
      </c>
      <c r="J20" s="798">
        <v>-2.125</v>
      </c>
      <c r="K20" s="798">
        <v>-2.75</v>
      </c>
      <c r="L20" s="798" t="s">
        <v>514</v>
      </c>
      <c r="M20" s="799" t="s">
        <v>514</v>
      </c>
      <c r="O20" s="481" t="s">
        <v>217</v>
      </c>
      <c r="P20" s="485">
        <v>30</v>
      </c>
      <c r="Q20" s="489">
        <f>IF(P20=15,0,IF(P20=30,Q28))</f>
        <v>-0.375</v>
      </c>
    </row>
    <row r="21" spans="1:17" ht="15" customHeight="1" thickBot="1">
      <c r="A21" s="746">
        <f>margins!CU29</f>
        <v>0</v>
      </c>
      <c r="B21" s="746">
        <f>margins!CV29-margins!$CX$3</f>
        <v>0</v>
      </c>
      <c r="C21" s="746">
        <f>margins!CW29-margins!$CX$3</f>
        <v>0</v>
      </c>
      <c r="D21" s="747"/>
      <c r="O21" s="482" t="s">
        <v>218</v>
      </c>
      <c r="P21" s="486"/>
      <c r="Q21" s="490">
        <f>Q12+Q13+Q14+Q15+Q16+Q17+Q18+Q19+Q20</f>
        <v>-0.375</v>
      </c>
    </row>
    <row r="22" spans="1:17" ht="15" customHeight="1" thickBot="1">
      <c r="A22" s="746">
        <f>margins!CU30</f>
        <v>0</v>
      </c>
      <c r="B22" s="746">
        <f>margins!CV30-margins!$CX$3</f>
        <v>0</v>
      </c>
      <c r="C22" s="746">
        <f>margins!CW30-margins!$CX$3</f>
        <v>0</v>
      </c>
      <c r="D22" s="747"/>
      <c r="E22" s="2162" t="s">
        <v>431</v>
      </c>
      <c r="F22" s="2162"/>
      <c r="G22" s="2162"/>
      <c r="H22" s="2162"/>
      <c r="I22" s="2162"/>
      <c r="J22" s="2162"/>
      <c r="K22" s="2162"/>
      <c r="L22" s="2162"/>
      <c r="M22" s="2162"/>
      <c r="O22" s="473"/>
      <c r="P22" s="474"/>
      <c r="Q22" s="483"/>
    </row>
    <row r="23" spans="1:17" ht="15" customHeight="1" thickBot="1">
      <c r="A23" s="746">
        <f>margins!CU31</f>
        <v>0</v>
      </c>
      <c r="B23" s="746">
        <f>margins!CV31-margins!$CX$3</f>
        <v>0</v>
      </c>
      <c r="C23" s="746">
        <f>margins!CW31-margins!$CX$3</f>
        <v>0</v>
      </c>
      <c r="D23" s="747"/>
      <c r="E23" s="785"/>
      <c r="F23" s="1002" t="s">
        <v>329</v>
      </c>
      <c r="G23" s="804" t="s">
        <v>513</v>
      </c>
      <c r="H23" s="804" t="s">
        <v>17</v>
      </c>
      <c r="I23" s="804" t="s">
        <v>18</v>
      </c>
      <c r="J23" s="804" t="s">
        <v>19</v>
      </c>
      <c r="K23" s="804" t="s">
        <v>20</v>
      </c>
      <c r="L23" s="804" t="s">
        <v>21</v>
      </c>
      <c r="M23" s="804" t="s">
        <v>22</v>
      </c>
      <c r="O23" s="475" t="s">
        <v>219</v>
      </c>
      <c r="P23" s="476"/>
      <c r="Q23" s="663" t="e">
        <f>MIN(Q21+Q10,Q30)</f>
        <v>#N/A</v>
      </c>
    </row>
    <row r="24" spans="1:17" ht="15" customHeight="1" thickBot="1">
      <c r="A24" s="746">
        <f>margins!CU32</f>
        <v>0</v>
      </c>
      <c r="B24" s="746">
        <f>margins!CV32-margins!$CX$3</f>
        <v>0</v>
      </c>
      <c r="C24" s="746">
        <f>margins!CW32-margins!$CX$3</f>
        <v>0</v>
      </c>
      <c r="D24" s="747"/>
      <c r="E24" s="1006" t="s">
        <v>574</v>
      </c>
      <c r="F24" s="982" t="s">
        <v>575</v>
      </c>
      <c r="G24" s="797">
        <v>0</v>
      </c>
      <c r="H24" s="797">
        <v>0</v>
      </c>
      <c r="I24" s="797">
        <v>0</v>
      </c>
      <c r="J24" s="797">
        <v>0</v>
      </c>
      <c r="K24" s="797">
        <v>-0.125</v>
      </c>
      <c r="L24" s="797">
        <v>-0.125</v>
      </c>
      <c r="M24" s="797">
        <v>-0.375</v>
      </c>
      <c r="O24" s="470"/>
      <c r="P24" s="470"/>
      <c r="Q24" s="470"/>
    </row>
    <row r="25" spans="1:17" ht="15.75" customHeight="1" thickBot="1">
      <c r="A25" s="746">
        <f>margins!CU33</f>
        <v>0</v>
      </c>
      <c r="B25" s="746">
        <f>margins!CV33-margins!$CX$3</f>
        <v>0</v>
      </c>
      <c r="C25" s="746">
        <f>margins!CW33-margins!$CX$3</f>
        <v>0</v>
      </c>
      <c r="D25" s="747"/>
      <c r="E25" s="2166" t="s">
        <v>310</v>
      </c>
      <c r="F25" s="1004" t="s">
        <v>583</v>
      </c>
      <c r="G25" s="984">
        <v>-0.5</v>
      </c>
      <c r="H25" s="984">
        <v>-0.75</v>
      </c>
      <c r="I25" s="984">
        <v>-0.75</v>
      </c>
      <c r="J25" s="984">
        <v>-0.75</v>
      </c>
      <c r="K25" s="984">
        <v>-1</v>
      </c>
      <c r="L25" s="984">
        <v>-1</v>
      </c>
      <c r="M25" s="984">
        <v>-1</v>
      </c>
      <c r="O25" s="846" t="s">
        <v>577</v>
      </c>
      <c r="P25" s="847"/>
      <c r="Q25" s="848"/>
    </row>
    <row r="26" spans="1:17" ht="15" customHeight="1" thickBot="1">
      <c r="A26" s="746">
        <f>margins!CU34</f>
        <v>0</v>
      </c>
      <c r="B26" s="746">
        <f>margins!CV34-margins!$CX$3</f>
        <v>0</v>
      </c>
      <c r="C26" s="746">
        <f>margins!CW34-margins!$CX$3</f>
        <v>0</v>
      </c>
      <c r="D26" s="747"/>
      <c r="E26" s="2167"/>
      <c r="F26" s="982" t="s">
        <v>584</v>
      </c>
      <c r="G26" s="797">
        <v>0</v>
      </c>
      <c r="H26" s="797">
        <v>0</v>
      </c>
      <c r="I26" s="797">
        <v>0</v>
      </c>
      <c r="J26" s="797">
        <v>0</v>
      </c>
      <c r="K26" s="797">
        <v>0</v>
      </c>
      <c r="L26" s="797">
        <v>0</v>
      </c>
      <c r="M26" s="797">
        <v>0</v>
      </c>
    </row>
    <row r="27" spans="1:17" ht="15" customHeight="1" thickBot="1">
      <c r="A27" s="746">
        <f>margins!CU35</f>
        <v>0</v>
      </c>
      <c r="B27" s="746">
        <f>margins!CV35-margins!$CX$3</f>
        <v>0</v>
      </c>
      <c r="C27" s="746">
        <f>margins!CW35-margins!$CX$3</f>
        <v>0</v>
      </c>
      <c r="D27" s="747"/>
      <c r="E27" s="2168" t="s">
        <v>68</v>
      </c>
      <c r="F27" s="987" t="s">
        <v>566</v>
      </c>
      <c r="G27" s="792">
        <v>-0.25</v>
      </c>
      <c r="H27" s="792">
        <v>-0.25</v>
      </c>
      <c r="I27" s="792">
        <v>-0.25</v>
      </c>
      <c r="J27" s="792">
        <v>-0.25</v>
      </c>
      <c r="K27" s="792">
        <v>-0.25</v>
      </c>
      <c r="L27" s="792">
        <v>-0.5</v>
      </c>
      <c r="M27" s="792">
        <v>-0.625</v>
      </c>
      <c r="O27" s="777"/>
      <c r="P27" s="778" t="s">
        <v>443</v>
      </c>
      <c r="Q27" s="986" t="s">
        <v>444</v>
      </c>
    </row>
    <row r="28" spans="1:17" ht="15" customHeight="1" thickBot="1">
      <c r="A28" s="746">
        <f>margins!CU36</f>
        <v>0</v>
      </c>
      <c r="B28" s="746">
        <f>margins!CV36-margins!$CX$3</f>
        <v>0</v>
      </c>
      <c r="C28" s="746">
        <f>margins!CW36-margins!$CX$3</f>
        <v>0</v>
      </c>
      <c r="D28" s="747"/>
      <c r="E28" s="2168"/>
      <c r="F28" s="761" t="s">
        <v>300</v>
      </c>
      <c r="G28" s="795">
        <v>-0.375</v>
      </c>
      <c r="H28" s="795">
        <v>-0.5</v>
      </c>
      <c r="I28" s="795">
        <v>-0.625</v>
      </c>
      <c r="J28" s="795">
        <v>-0.75</v>
      </c>
      <c r="K28" s="795">
        <v>-0.875</v>
      </c>
      <c r="L28" s="795">
        <v>-1.25</v>
      </c>
      <c r="M28" s="795" t="s">
        <v>514</v>
      </c>
      <c r="O28" s="801" t="s">
        <v>217</v>
      </c>
      <c r="P28" s="802">
        <v>30</v>
      </c>
      <c r="Q28" s="803">
        <v>-0.375</v>
      </c>
    </row>
    <row r="29" spans="1:17" ht="15" customHeight="1" thickBot="1">
      <c r="A29" s="746">
        <f>margins!CU37</f>
        <v>0</v>
      </c>
      <c r="B29" s="746">
        <f>margins!CV37-margins!$CX$3</f>
        <v>0</v>
      </c>
      <c r="C29" s="746">
        <f>margins!CW37-margins!$CX$3</f>
        <v>0</v>
      </c>
      <c r="D29" s="765"/>
      <c r="E29" s="2168"/>
      <c r="F29" s="761" t="s">
        <v>298</v>
      </c>
      <c r="G29" s="795">
        <v>-0.125</v>
      </c>
      <c r="H29" s="795">
        <v>-0.125</v>
      </c>
      <c r="I29" s="795">
        <v>-0.125</v>
      </c>
      <c r="J29" s="795">
        <v>-0.125</v>
      </c>
      <c r="K29" s="795">
        <v>-0.25</v>
      </c>
      <c r="L29" s="795" t="s">
        <v>514</v>
      </c>
      <c r="M29" s="795" t="s">
        <v>514</v>
      </c>
    </row>
    <row r="30" spans="1:17" ht="15" customHeight="1" thickBot="1">
      <c r="A30" s="746">
        <f>margins!CU38</f>
        <v>0</v>
      </c>
      <c r="B30" s="746">
        <f>margins!CV38-margins!$CX$3</f>
        <v>0</v>
      </c>
      <c r="C30" s="746">
        <f>margins!CW38-margins!$CX$3</f>
        <v>0</v>
      </c>
      <c r="D30" s="770"/>
      <c r="E30" s="2168"/>
      <c r="F30" s="761" t="s">
        <v>567</v>
      </c>
      <c r="G30" s="795">
        <v>-0.125</v>
      </c>
      <c r="H30" s="795">
        <v>-0.125</v>
      </c>
      <c r="I30" s="795">
        <v>-0.125</v>
      </c>
      <c r="J30" s="795">
        <v>-0.125</v>
      </c>
      <c r="K30" s="795">
        <v>-0.25</v>
      </c>
      <c r="L30" s="795" t="s">
        <v>514</v>
      </c>
      <c r="M30" s="795" t="s">
        <v>514</v>
      </c>
      <c r="O30" s="772" t="s">
        <v>445</v>
      </c>
      <c r="P30" s="773"/>
      <c r="Q30" s="791">
        <v>101</v>
      </c>
    </row>
    <row r="31" spans="1:17" ht="15" customHeight="1">
      <c r="A31" s="746">
        <f>margins!CU39</f>
        <v>0</v>
      </c>
      <c r="B31" s="746">
        <f>margins!CV39-margins!$CX$3</f>
        <v>0</v>
      </c>
      <c r="C31" s="746">
        <f>margins!CW39-margins!$CX$3</f>
        <v>0</v>
      </c>
      <c r="D31" s="770"/>
      <c r="E31" s="2168"/>
      <c r="F31" s="761" t="s">
        <v>63</v>
      </c>
      <c r="G31" s="795">
        <v>-0.25</v>
      </c>
      <c r="H31" s="795">
        <v>-0.25</v>
      </c>
      <c r="I31" s="795">
        <v>-0.25</v>
      </c>
      <c r="J31" s="795">
        <v>-0.25</v>
      </c>
      <c r="K31" s="795">
        <v>-0.25</v>
      </c>
      <c r="L31" s="795">
        <v>-0.25</v>
      </c>
      <c r="M31" s="795" t="s">
        <v>514</v>
      </c>
    </row>
    <row r="32" spans="1:17" ht="15" customHeight="1">
      <c r="A32" s="746">
        <f>margins!CU40</f>
        <v>0</v>
      </c>
      <c r="B32" s="746">
        <f>margins!CV40-margins!$CX$3</f>
        <v>0</v>
      </c>
      <c r="C32" s="746">
        <f>margins!CW40-margins!$CX$3</f>
        <v>0</v>
      </c>
      <c r="E32" s="2168"/>
      <c r="F32" s="761" t="s">
        <v>451</v>
      </c>
      <c r="G32" s="795">
        <v>-0.375</v>
      </c>
      <c r="H32" s="795">
        <v>-0.375</v>
      </c>
      <c r="I32" s="795">
        <v>-0.375</v>
      </c>
      <c r="J32" s="795">
        <v>-0.375</v>
      </c>
      <c r="K32" s="795">
        <v>-0.375</v>
      </c>
      <c r="L32" s="795" t="s">
        <v>514</v>
      </c>
      <c r="M32" s="795" t="s">
        <v>514</v>
      </c>
    </row>
    <row r="33" spans="1:17" ht="15" customHeight="1" thickBot="1">
      <c r="A33" s="1008">
        <f>margins!CU41</f>
        <v>0</v>
      </c>
      <c r="B33" s="1008">
        <f>margins!CV41-margins!$CX$3</f>
        <v>0</v>
      </c>
      <c r="C33" s="1008">
        <f>margins!CW41-margins!$CX$3</f>
        <v>0</v>
      </c>
      <c r="E33" s="2168"/>
      <c r="F33" s="761" t="s">
        <v>568</v>
      </c>
      <c r="G33" s="795">
        <v>-0.25</v>
      </c>
      <c r="H33" s="795">
        <v>-0.25</v>
      </c>
      <c r="I33" s="795">
        <v>-0.25</v>
      </c>
      <c r="J33" s="795">
        <v>-0.25</v>
      </c>
      <c r="K33" s="795">
        <v>-0.5</v>
      </c>
      <c r="L33" s="795">
        <v>-0.625</v>
      </c>
      <c r="M33" s="795" t="s">
        <v>514</v>
      </c>
    </row>
    <row r="34" spans="1:17" ht="15.75" customHeight="1">
      <c r="E34" s="2168"/>
      <c r="F34" s="761" t="s">
        <v>569</v>
      </c>
      <c r="G34" s="795">
        <v>-0.5</v>
      </c>
      <c r="H34" s="795">
        <v>-0.5</v>
      </c>
      <c r="I34" s="795">
        <v>-0.5</v>
      </c>
      <c r="J34" s="795">
        <v>-0.5</v>
      </c>
      <c r="K34" s="795">
        <v>-0.75</v>
      </c>
      <c r="L34" s="795">
        <v>-0.75</v>
      </c>
      <c r="M34" s="795" t="s">
        <v>514</v>
      </c>
    </row>
    <row r="35" spans="1:17" ht="15.75" customHeight="1">
      <c r="E35" s="2168"/>
      <c r="F35" s="761" t="s">
        <v>580</v>
      </c>
      <c r="G35" s="795">
        <v>-0.25</v>
      </c>
      <c r="H35" s="795">
        <v>-0.25</v>
      </c>
      <c r="I35" s="795">
        <v>-0.25</v>
      </c>
      <c r="J35" s="795">
        <v>-0.25</v>
      </c>
      <c r="K35" s="795">
        <v>-0.25</v>
      </c>
      <c r="L35" s="795">
        <v>-0.25</v>
      </c>
      <c r="M35" s="795">
        <v>-0.25</v>
      </c>
    </row>
    <row r="36" spans="1:17" ht="15.75" customHeight="1" thickBot="1">
      <c r="E36" s="2168"/>
      <c r="F36" s="996" t="s">
        <v>576</v>
      </c>
      <c r="G36" s="997">
        <v>0</v>
      </c>
      <c r="H36" s="997">
        <v>0</v>
      </c>
      <c r="I36" s="997">
        <v>0</v>
      </c>
      <c r="J36" s="997">
        <v>0</v>
      </c>
      <c r="K36" s="997">
        <v>0</v>
      </c>
      <c r="L36" s="997">
        <v>0</v>
      </c>
      <c r="M36" s="997">
        <v>-0.25</v>
      </c>
    </row>
    <row r="37" spans="1:17" ht="15.75" customHeight="1">
      <c r="E37" s="999"/>
      <c r="F37" s="1000"/>
      <c r="G37" s="1001"/>
      <c r="H37" s="1001"/>
      <c r="I37" s="1001"/>
      <c r="J37" s="1001"/>
      <c r="K37" s="1001"/>
      <c r="L37" s="1001"/>
      <c r="M37" s="1001"/>
    </row>
    <row r="38" spans="1:17" ht="15.75" customHeight="1">
      <c r="E38" s="1003"/>
      <c r="F38" s="992"/>
      <c r="G38" s="753"/>
      <c r="H38" s="753"/>
      <c r="I38" s="753"/>
      <c r="J38" s="753"/>
      <c r="K38" s="753"/>
      <c r="L38" s="753"/>
      <c r="M38" s="753"/>
    </row>
    <row r="39" spans="1:17" ht="15.75" customHeight="1">
      <c r="E39" s="1003"/>
      <c r="F39" s="992"/>
      <c r="G39" s="753"/>
      <c r="H39" s="753"/>
      <c r="I39" s="753"/>
      <c r="J39" s="753"/>
      <c r="K39" s="753"/>
      <c r="L39" s="753"/>
      <c r="M39" s="753"/>
      <c r="O39" s="2160"/>
      <c r="P39" s="2160"/>
      <c r="Q39" s="988"/>
    </row>
    <row r="40" spans="1:17" ht="15.75">
      <c r="E40" s="1003"/>
      <c r="F40" s="992"/>
      <c r="G40" s="753"/>
      <c r="H40" s="753"/>
      <c r="I40" s="753"/>
      <c r="J40" s="753"/>
      <c r="K40" s="753"/>
      <c r="L40" s="753"/>
      <c r="M40" s="753"/>
      <c r="O40" s="989"/>
      <c r="P40" s="990"/>
      <c r="Q40" s="991"/>
    </row>
    <row r="41" spans="1:17" ht="15" customHeight="1">
      <c r="E41" s="1003"/>
      <c r="F41" s="992"/>
      <c r="G41" s="753"/>
      <c r="H41" s="753"/>
      <c r="I41" s="753"/>
      <c r="J41" s="753"/>
      <c r="K41" s="753"/>
      <c r="L41" s="753"/>
      <c r="M41" s="753"/>
      <c r="Q41" s="995"/>
    </row>
    <row r="42" spans="1:17" ht="15" customHeight="1">
      <c r="E42" s="998"/>
      <c r="F42" s="992"/>
      <c r="G42" s="753"/>
      <c r="H42" s="753"/>
      <c r="I42" s="753"/>
      <c r="J42" s="753"/>
      <c r="K42" s="753"/>
      <c r="L42" s="753"/>
      <c r="M42" s="753"/>
    </row>
    <row r="43" spans="1:17" ht="15" customHeight="1">
      <c r="E43" s="998"/>
    </row>
    <row r="44" spans="1:17" ht="15" customHeight="1">
      <c r="F44" s="2161"/>
      <c r="G44" s="2161"/>
      <c r="H44" s="2161"/>
      <c r="I44" s="2161"/>
      <c r="J44" s="2161"/>
      <c r="K44" s="2161"/>
      <c r="L44" s="2161"/>
      <c r="M44" s="2161"/>
    </row>
    <row r="45" spans="1:17" ht="15" customHeight="1">
      <c r="F45" s="993"/>
      <c r="G45" s="994"/>
      <c r="H45" s="994"/>
      <c r="I45" s="994"/>
      <c r="J45" s="994"/>
      <c r="K45" s="994"/>
      <c r="L45" s="994"/>
      <c r="M45" s="994"/>
    </row>
    <row r="46" spans="1:17" ht="15" customHeight="1">
      <c r="F46" s="992"/>
      <c r="G46" s="753"/>
      <c r="H46" s="753"/>
      <c r="I46" s="753"/>
      <c r="J46" s="753"/>
      <c r="K46" s="753"/>
      <c r="L46" s="753"/>
      <c r="M46" s="753"/>
    </row>
    <row r="47" spans="1:17" ht="15" customHeight="1">
      <c r="F47" s="992"/>
      <c r="G47" s="753"/>
      <c r="H47" s="753"/>
      <c r="I47" s="753"/>
      <c r="J47" s="753"/>
      <c r="K47" s="753"/>
      <c r="L47" s="753"/>
      <c r="M47" s="753"/>
    </row>
    <row r="48" spans="1:17">
      <c r="F48" s="992"/>
      <c r="G48" s="753"/>
      <c r="H48" s="753"/>
      <c r="I48" s="753"/>
      <c r="J48" s="753"/>
      <c r="K48" s="753"/>
      <c r="L48" s="753"/>
      <c r="M48" s="753"/>
    </row>
    <row r="49" spans="6:13">
      <c r="F49" s="992"/>
      <c r="G49" s="753"/>
      <c r="H49" s="753"/>
      <c r="I49" s="753"/>
      <c r="J49" s="753"/>
      <c r="K49" s="753"/>
      <c r="L49" s="753"/>
      <c r="M49" s="753"/>
    </row>
    <row r="50" spans="6:13">
      <c r="F50" s="992"/>
      <c r="G50" s="753"/>
      <c r="H50" s="753"/>
      <c r="I50" s="753"/>
      <c r="J50" s="753"/>
      <c r="K50" s="753"/>
      <c r="L50" s="753"/>
      <c r="M50" s="753"/>
    </row>
    <row r="51" spans="6:13">
      <c r="F51" s="992"/>
      <c r="G51" s="753"/>
      <c r="H51" s="753"/>
      <c r="I51" s="753"/>
      <c r="J51" s="753"/>
      <c r="K51" s="753"/>
      <c r="L51" s="753"/>
      <c r="M51" s="753"/>
    </row>
    <row r="52" spans="6:13">
      <c r="F52" s="992"/>
      <c r="G52" s="753"/>
      <c r="H52" s="753"/>
      <c r="I52" s="753"/>
      <c r="J52" s="753"/>
      <c r="K52" s="753"/>
      <c r="L52" s="753"/>
      <c r="M52" s="753"/>
    </row>
    <row r="53" spans="6:13">
      <c r="F53" s="992"/>
      <c r="G53" s="753"/>
      <c r="H53" s="753"/>
      <c r="I53" s="753"/>
      <c r="J53" s="753"/>
      <c r="K53" s="753"/>
      <c r="L53" s="753"/>
      <c r="M53" s="753"/>
    </row>
    <row r="54" spans="6:13">
      <c r="F54" s="992"/>
      <c r="G54" s="753"/>
      <c r="H54" s="753"/>
      <c r="I54" s="753"/>
      <c r="J54" s="753"/>
      <c r="K54" s="753"/>
      <c r="L54" s="753"/>
      <c r="M54" s="753"/>
    </row>
    <row r="55" spans="6:13">
      <c r="F55" s="992"/>
      <c r="G55" s="753"/>
      <c r="H55" s="753"/>
      <c r="I55" s="753"/>
      <c r="J55" s="753"/>
      <c r="K55" s="753"/>
      <c r="L55" s="753"/>
      <c r="M55" s="753"/>
    </row>
    <row r="56" spans="6:13">
      <c r="F56" s="992"/>
      <c r="G56" s="753"/>
      <c r="H56" s="753"/>
      <c r="I56" s="753"/>
      <c r="J56" s="753"/>
      <c r="K56" s="753"/>
      <c r="L56" s="753"/>
      <c r="M56" s="753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margins!$R$158:$R$161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margins!$R$163:$R$164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margins!$R$172:$R$173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margins!$R$169:$R$170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margins!$R$175:$R$176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margins!$R$178:$R$180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margins!$C$119:$C$121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margins!$R$166:$R$167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RowHeight="15"/>
  <cols>
    <col min="1" max="1" width="3.5703125" style="1058" customWidth="1"/>
    <col min="2" max="2" width="25.7109375" style="1057" customWidth="1"/>
    <col min="3" max="3" width="15.28515625" style="1057" customWidth="1"/>
    <col min="4" max="4" width="13" style="1057" customWidth="1"/>
    <col min="5" max="5" width="12.7109375" style="1057" customWidth="1"/>
    <col min="6" max="9" width="13.7109375" style="1057" customWidth="1"/>
    <col min="10" max="10" width="13.5703125" style="1057" customWidth="1"/>
    <col min="11" max="13" width="13.7109375" style="1057" customWidth="1"/>
    <col min="14" max="14" width="2" style="1057" customWidth="1"/>
    <col min="15" max="15" width="9.140625" style="1056"/>
    <col min="16" max="18" width="20" style="1056" customWidth="1"/>
    <col min="19" max="16384" width="9.140625" style="1056"/>
  </cols>
  <sheetData>
    <row r="1" spans="1:18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268"/>
    </row>
    <row r="2" spans="1:18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755" t="s">
        <v>361</v>
      </c>
      <c r="K2" s="1755"/>
      <c r="L2" s="1756">
        <f ca="1">NOW()</f>
        <v>45978.399704166666</v>
      </c>
      <c r="M2" s="1756"/>
      <c r="N2" s="1200"/>
    </row>
    <row r="3" spans="1:18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5" t="s">
        <v>648</v>
      </c>
      <c r="L3" s="1755"/>
      <c r="M3" s="1755"/>
      <c r="N3" s="1200"/>
    </row>
    <row r="4" spans="1:18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755"/>
      <c r="M4" s="1755"/>
      <c r="N4" s="1200"/>
    </row>
    <row r="5" spans="1:18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062"/>
      <c r="L5" s="1755" t="s">
        <v>183</v>
      </c>
      <c r="M5" s="1755"/>
      <c r="N5" s="1200"/>
    </row>
    <row r="6" spans="1:18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200"/>
    </row>
    <row r="7" spans="1:18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200"/>
    </row>
    <row r="8" spans="1:18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267"/>
    </row>
    <row r="9" spans="1:18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M9" s="1227"/>
      <c r="N9" s="1266"/>
    </row>
    <row r="10" spans="1:18" s="1057" customFormat="1" ht="14.25" customHeight="1">
      <c r="A10" s="1757" t="s">
        <v>696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8"/>
      <c r="N10" s="1759"/>
      <c r="P10" s="1725" t="s">
        <v>701</v>
      </c>
      <c r="Q10" s="1819"/>
      <c r="R10" s="1726"/>
    </row>
    <row r="11" spans="1:18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1"/>
      <c r="N11" s="1762"/>
      <c r="P11" s="471"/>
      <c r="Q11" s="471"/>
      <c r="R11" s="471"/>
    </row>
    <row r="12" spans="1:18" s="1057" customFormat="1" ht="15.75" thickBot="1">
      <c r="A12" s="1265"/>
      <c r="B12" s="1286"/>
      <c r="C12" s="1743" t="s">
        <v>476</v>
      </c>
      <c r="D12" s="1744"/>
      <c r="E12" s="1744"/>
      <c r="F12" s="1264"/>
      <c r="G12" s="1263"/>
      <c r="H12" s="1263"/>
      <c r="I12" s="1263"/>
      <c r="J12" s="1263"/>
      <c r="K12" s="1263"/>
      <c r="L12" s="1101"/>
      <c r="M12" s="1262"/>
      <c r="N12" s="1261"/>
      <c r="P12" s="1248" t="s">
        <v>207</v>
      </c>
      <c r="Q12" s="1248" t="s">
        <v>208</v>
      </c>
      <c r="R12" s="1248" t="s">
        <v>209</v>
      </c>
    </row>
    <row r="13" spans="1:18" s="1057" customFormat="1" ht="15.75" thickBot="1">
      <c r="A13" s="1250"/>
      <c r="B13" s="1285" t="s">
        <v>226</v>
      </c>
      <c r="C13" s="1430" t="s">
        <v>13</v>
      </c>
      <c r="D13" s="1430" t="s">
        <v>88</v>
      </c>
      <c r="E13" s="1285" t="s">
        <v>647</v>
      </c>
      <c r="G13" s="1202" t="s">
        <v>646</v>
      </c>
      <c r="H13" s="1201"/>
      <c r="I13" s="1201"/>
      <c r="K13" s="1202" t="s">
        <v>645</v>
      </c>
      <c r="L13" s="1"/>
      <c r="N13" s="1200"/>
      <c r="P13" s="471"/>
      <c r="Q13" s="471"/>
      <c r="R13" s="471"/>
    </row>
    <row r="14" spans="1:18" s="1057" customFormat="1">
      <c r="A14" s="1250"/>
      <c r="B14" s="1284">
        <f>margins!J5</f>
        <v>6</v>
      </c>
      <c r="C14" s="1260">
        <v>94.38300000000001</v>
      </c>
      <c r="D14" s="1259">
        <v>94.283000000000001</v>
      </c>
      <c r="E14" s="1323">
        <v>94.283000000000001</v>
      </c>
      <c r="G14" s="1725" t="s">
        <v>97</v>
      </c>
      <c r="H14" s="1726"/>
      <c r="I14" s="1433" t="s">
        <v>6</v>
      </c>
      <c r="K14" s="1725" t="s">
        <v>644</v>
      </c>
      <c r="L14" s="1763"/>
      <c r="M14" s="1256">
        <v>0</v>
      </c>
      <c r="N14" s="1200"/>
      <c r="P14" s="480" t="s">
        <v>210</v>
      </c>
      <c r="Q14" s="485" t="s">
        <v>93</v>
      </c>
      <c r="R14" s="488"/>
    </row>
    <row r="15" spans="1:18" s="1057" customFormat="1" ht="15.75" thickBot="1">
      <c r="A15" s="1250"/>
      <c r="B15" s="1284">
        <f>margins!J6</f>
        <v>6.125</v>
      </c>
      <c r="C15" s="1241">
        <v>95.25800000000001</v>
      </c>
      <c r="D15" s="1240">
        <v>95.158000000000001</v>
      </c>
      <c r="E15" s="1239">
        <v>95.158000000000001</v>
      </c>
      <c r="G15" s="1723" t="s">
        <v>99</v>
      </c>
      <c r="H15" s="1724"/>
      <c r="I15" s="1255">
        <v>102</v>
      </c>
      <c r="K15" s="1753" t="s">
        <v>643</v>
      </c>
      <c r="L15" s="1754"/>
      <c r="M15" s="1258">
        <v>-0.375</v>
      </c>
      <c r="N15" s="1200"/>
      <c r="P15" s="481" t="s">
        <v>211</v>
      </c>
      <c r="Q15" s="485">
        <v>7.875</v>
      </c>
      <c r="R15" s="959">
        <f>IF(Q14="7/6 Arm",VLOOKUP(Q15,$B$14:$E$43,2,FALSE),IF(Q14="10/6 Arm",VLOOKUP(Q15,$B$14:$E$43,3,FALSE),VLOOKUP(Q15,$B$14:$E$43,4,FALSE)))</f>
        <v>104.25200000000001</v>
      </c>
    </row>
    <row r="16" spans="1:18" s="1057" customFormat="1">
      <c r="A16" s="1250"/>
      <c r="B16" s="1284">
        <f>margins!J7</f>
        <v>6.25</v>
      </c>
      <c r="C16" s="1241">
        <v>96.13300000000001</v>
      </c>
      <c r="D16" s="1240">
        <v>96.033000000000001</v>
      </c>
      <c r="E16" s="1239">
        <v>96.033000000000001</v>
      </c>
      <c r="G16" s="1723" t="s">
        <v>100</v>
      </c>
      <c r="H16" s="1724"/>
      <c r="I16" s="1255">
        <v>102</v>
      </c>
      <c r="N16" s="1200"/>
      <c r="P16" s="481" t="s">
        <v>386</v>
      </c>
      <c r="Q16" s="485" t="s">
        <v>16</v>
      </c>
      <c r="R16" s="489"/>
    </row>
    <row r="17" spans="1:18" s="1057" customFormat="1">
      <c r="A17" s="1250"/>
      <c r="B17" s="1284">
        <f>margins!J8</f>
        <v>6.375</v>
      </c>
      <c r="C17" s="1241">
        <v>97.00800000000001</v>
      </c>
      <c r="D17" s="1240">
        <v>96.908000000000001</v>
      </c>
      <c r="E17" s="1239">
        <v>96.908000000000001</v>
      </c>
      <c r="G17" s="1723" t="s">
        <v>7</v>
      </c>
      <c r="H17" s="1724"/>
      <c r="I17" s="1255">
        <v>102</v>
      </c>
      <c r="N17" s="1200"/>
      <c r="P17" s="481" t="s">
        <v>212</v>
      </c>
      <c r="Q17" s="485" t="s">
        <v>692</v>
      </c>
      <c r="R17" s="489">
        <f>IFERROR(INDEX($F$47:$K$48,MATCH(Q17,$C$47:$E$48,0),MATCH($Q$16,$F$46:$K$46,0),1),0)</f>
        <v>0</v>
      </c>
    </row>
    <row r="18" spans="1:18" s="1057" customFormat="1" ht="15.75" thickBot="1">
      <c r="A18" s="1250"/>
      <c r="B18" s="1284">
        <f>margins!J9</f>
        <v>6.5</v>
      </c>
      <c r="C18" s="1241">
        <v>97.725999999999999</v>
      </c>
      <c r="D18" s="1240">
        <v>97.626000000000005</v>
      </c>
      <c r="E18" s="1239">
        <v>97.626000000000005</v>
      </c>
      <c r="G18" s="1723" t="s">
        <v>9</v>
      </c>
      <c r="H18" s="1724"/>
      <c r="I18" s="1255">
        <v>101.5</v>
      </c>
      <c r="K18" s="1202" t="s">
        <v>641</v>
      </c>
      <c r="L18" s="1432"/>
      <c r="M18" s="1432"/>
      <c r="N18" s="1200"/>
      <c r="P18" s="481" t="s">
        <v>114</v>
      </c>
      <c r="Q18" s="485" t="s">
        <v>203</v>
      </c>
      <c r="R18" s="489">
        <f>IFERROR(INDEX($F$49:$K$50,MATCH(Q18,$C$49:$E$50,0),MATCH($Q$16,$F$46:$K$46,0),1),0)</f>
        <v>0</v>
      </c>
    </row>
    <row r="19" spans="1:18" s="1057" customFormat="1">
      <c r="A19" s="1250"/>
      <c r="B19" s="1284">
        <f>margins!J10</f>
        <v>6.625</v>
      </c>
      <c r="C19" s="1241">
        <v>98.445000000000007</v>
      </c>
      <c r="D19" s="1240">
        <v>98.344999999999999</v>
      </c>
      <c r="E19" s="1239">
        <v>98.344999999999999</v>
      </c>
      <c r="G19" s="1723" t="s">
        <v>11</v>
      </c>
      <c r="H19" s="1724"/>
      <c r="I19" s="1255">
        <v>99.5</v>
      </c>
      <c r="K19" s="1780" t="s">
        <v>686</v>
      </c>
      <c r="L19" s="1781"/>
      <c r="M19" s="1782"/>
      <c r="N19" s="1200"/>
      <c r="P19" s="481" t="s">
        <v>47</v>
      </c>
      <c r="Q19" s="485" t="s">
        <v>247</v>
      </c>
      <c r="R19" s="489">
        <f>IFERROR(INDEX($F$55:$K$81,MATCH(Q19,$C$55:$C$81,0),MATCH($Q$16,$F$54:$K$54,0),1),0)</f>
        <v>0</v>
      </c>
    </row>
    <row r="20" spans="1:18" s="1057" customFormat="1" ht="15.75" thickBot="1">
      <c r="A20" s="1250"/>
      <c r="B20" s="1284">
        <f>margins!J11</f>
        <v>6.75</v>
      </c>
      <c r="C20" s="1241">
        <v>99.132000000000005</v>
      </c>
      <c r="D20" s="1240">
        <v>99.031999999999996</v>
      </c>
      <c r="E20" s="1239">
        <v>99.031999999999996</v>
      </c>
      <c r="F20" s="1062"/>
      <c r="G20" s="1786" t="s">
        <v>101</v>
      </c>
      <c r="H20" s="1787"/>
      <c r="I20" s="1254">
        <v>98.5</v>
      </c>
      <c r="K20" s="1783"/>
      <c r="L20" s="1784"/>
      <c r="M20" s="1785"/>
      <c r="N20" s="1200"/>
      <c r="P20" s="481" t="s">
        <v>56</v>
      </c>
      <c r="Q20" s="485" t="s">
        <v>203</v>
      </c>
      <c r="R20" s="489">
        <f>IFERROR(INDEX($F$55:$K$81,MATCH(Q20,$C$55:$C$81,0),MATCH($Q$16,$F$54:$K$54,0),1),0)</f>
        <v>0</v>
      </c>
    </row>
    <row r="21" spans="1:18" s="1057" customFormat="1">
      <c r="A21" s="1250"/>
      <c r="B21" s="1284">
        <f>margins!J12</f>
        <v>6.875</v>
      </c>
      <c r="C21" s="1241">
        <v>99.820000000000007</v>
      </c>
      <c r="D21" s="1240">
        <v>99.72</v>
      </c>
      <c r="E21" s="1239">
        <v>99.72</v>
      </c>
      <c r="F21" s="1062"/>
      <c r="G21"/>
      <c r="H21"/>
      <c r="I21"/>
      <c r="K21" s="1783" t="s">
        <v>475</v>
      </c>
      <c r="L21" s="1784"/>
      <c r="M21" s="1785"/>
      <c r="N21" s="1200"/>
      <c r="P21" s="481" t="s">
        <v>62</v>
      </c>
      <c r="Q21" s="485" t="s">
        <v>203</v>
      </c>
      <c r="R21" s="489">
        <f t="shared" ref="R21:R24" si="0">IFERROR(INDEX($F$55:$K$81,MATCH(Q21,$C$55:$C$81,0),MATCH($Q$16,$F$54:$K$54,0),1),0)</f>
        <v>0</v>
      </c>
    </row>
    <row r="22" spans="1:18" s="1057" customFormat="1">
      <c r="A22" s="1250"/>
      <c r="B22" s="1284">
        <f>margins!J13</f>
        <v>7</v>
      </c>
      <c r="C22" s="1241">
        <v>100.476</v>
      </c>
      <c r="D22" s="1240">
        <v>100.376</v>
      </c>
      <c r="E22" s="1239">
        <v>100.376</v>
      </c>
      <c r="F22" s="1249"/>
      <c r="K22" s="1783"/>
      <c r="L22" s="1784"/>
      <c r="M22" s="1785"/>
      <c r="N22" s="1200"/>
      <c r="P22" s="481" t="s">
        <v>214</v>
      </c>
      <c r="Q22" s="485" t="s">
        <v>203</v>
      </c>
      <c r="R22" s="489">
        <f t="shared" si="0"/>
        <v>0</v>
      </c>
    </row>
    <row r="23" spans="1:18" s="1057" customFormat="1" ht="15.75" thickBot="1">
      <c r="A23" s="1203"/>
      <c r="B23" s="1284">
        <f>margins!J14</f>
        <v>7.125</v>
      </c>
      <c r="C23" s="1241">
        <v>101.164</v>
      </c>
      <c r="D23" s="1240">
        <v>101.06400000000001</v>
      </c>
      <c r="E23" s="1239">
        <v>101.06400000000001</v>
      </c>
      <c r="F23" s="1249"/>
      <c r="G23" s="1202" t="s">
        <v>642</v>
      </c>
      <c r="I23" s="1062"/>
      <c r="K23" s="1764" t="s">
        <v>684</v>
      </c>
      <c r="L23" s="1765"/>
      <c r="M23" s="1766"/>
      <c r="N23" s="1200"/>
      <c r="P23" s="481" t="s">
        <v>141</v>
      </c>
      <c r="Q23" s="485" t="s">
        <v>203</v>
      </c>
      <c r="R23" s="489">
        <f t="shared" si="0"/>
        <v>0</v>
      </c>
    </row>
    <row r="24" spans="1:18" s="1057" customFormat="1" ht="14.25" customHeight="1">
      <c r="A24" s="1203"/>
      <c r="B24" s="1284">
        <f>margins!J15</f>
        <v>7.25</v>
      </c>
      <c r="C24" s="1241">
        <v>101.82000000000001</v>
      </c>
      <c r="D24" s="1240">
        <v>101.72</v>
      </c>
      <c r="E24" s="1239">
        <v>101.72</v>
      </c>
      <c r="F24" s="1249"/>
      <c r="G24" s="1248" t="s">
        <v>267</v>
      </c>
      <c r="H24" s="1731" t="s">
        <v>640</v>
      </c>
      <c r="I24" s="1732"/>
      <c r="K24" s="1764"/>
      <c r="L24" s="1765"/>
      <c r="M24" s="1766"/>
      <c r="N24" s="1200"/>
      <c r="P24" s="481" t="s">
        <v>215</v>
      </c>
      <c r="Q24" s="485" t="s">
        <v>203</v>
      </c>
      <c r="R24" s="489">
        <f t="shared" si="0"/>
        <v>0</v>
      </c>
    </row>
    <row r="25" spans="1:18" s="1057" customFormat="1">
      <c r="A25" s="1203"/>
      <c r="B25" s="1284">
        <f>margins!J16</f>
        <v>7.375</v>
      </c>
      <c r="C25" s="1241">
        <v>102.477</v>
      </c>
      <c r="D25" s="1240">
        <v>102.37700000000001</v>
      </c>
      <c r="E25" s="1239">
        <v>102.37700000000001</v>
      </c>
      <c r="G25" s="1247" t="s">
        <v>223</v>
      </c>
      <c r="H25" s="1735">
        <v>4.5</v>
      </c>
      <c r="I25" s="1736"/>
      <c r="K25" s="1764" t="s">
        <v>685</v>
      </c>
      <c r="L25" s="1765"/>
      <c r="M25" s="1766"/>
      <c r="N25" s="1200"/>
      <c r="P25" s="481" t="s">
        <v>699</v>
      </c>
      <c r="Q25" s="485" t="s">
        <v>203</v>
      </c>
      <c r="R25" s="489">
        <f>IFERROR(INDEX($F$72:$K$77,MATCH(Q25,$C$72:$C$77,0),MATCH($Q$16,$F$54:$K$54,0),1),0)</f>
        <v>0</v>
      </c>
    </row>
    <row r="26" spans="1:18" s="1057" customFormat="1" ht="14.25" customHeight="1" thickBot="1">
      <c r="A26" s="1203"/>
      <c r="B26" s="1284">
        <f>margins!J17</f>
        <v>7.5</v>
      </c>
      <c r="C26" s="1241">
        <v>103.00800000000001</v>
      </c>
      <c r="D26" s="1240">
        <v>102.908</v>
      </c>
      <c r="E26" s="1239">
        <v>102.908</v>
      </c>
      <c r="G26" s="1247" t="s">
        <v>639</v>
      </c>
      <c r="H26" s="1735" t="s">
        <v>638</v>
      </c>
      <c r="I26" s="1736"/>
      <c r="K26" s="1767"/>
      <c r="L26" s="1768"/>
      <c r="M26" s="1769"/>
      <c r="N26" s="1200"/>
      <c r="P26" s="481" t="s">
        <v>69</v>
      </c>
      <c r="Q26" s="485" t="s">
        <v>203</v>
      </c>
      <c r="R26" s="489">
        <f t="shared" ref="R26:R29" si="1">IFERROR(INDEX($F$55:$K$81,MATCH(Q26,$C$55:$C$81,0),MATCH($Q$16,$F$54:$K$54,0),1),0)</f>
        <v>0</v>
      </c>
    </row>
    <row r="27" spans="1:18" s="1057" customFormat="1">
      <c r="A27" s="1203"/>
      <c r="B27" s="1284">
        <f>margins!J18</f>
        <v>7.625</v>
      </c>
      <c r="C27" s="1241">
        <v>103.477</v>
      </c>
      <c r="D27" s="1240">
        <v>103.37700000000001</v>
      </c>
      <c r="E27" s="1239">
        <v>103.37700000000001</v>
      </c>
      <c r="G27" s="1247" t="s">
        <v>637</v>
      </c>
      <c r="H27" s="1735" t="s">
        <v>108</v>
      </c>
      <c r="I27" s="1736"/>
      <c r="N27" s="1200"/>
      <c r="P27" s="481" t="s">
        <v>509</v>
      </c>
      <c r="Q27" s="485" t="s">
        <v>203</v>
      </c>
      <c r="R27" s="489">
        <f t="shared" si="1"/>
        <v>0</v>
      </c>
    </row>
    <row r="28" spans="1:18" s="1057" customFormat="1" ht="14.25" customHeight="1" thickBot="1">
      <c r="A28" s="1203"/>
      <c r="B28" s="1284">
        <f>margins!J19</f>
        <v>7.75</v>
      </c>
      <c r="C28" s="1241">
        <v>103.91500000000001</v>
      </c>
      <c r="D28" s="1240">
        <v>103.815</v>
      </c>
      <c r="E28" s="1239">
        <v>103.815</v>
      </c>
      <c r="G28" s="1244" t="s">
        <v>636</v>
      </c>
      <c r="H28" s="1733" t="s">
        <v>635</v>
      </c>
      <c r="I28" s="1734"/>
      <c r="N28" s="1200"/>
      <c r="P28" s="481" t="s">
        <v>700</v>
      </c>
      <c r="Q28" s="485" t="s">
        <v>203</v>
      </c>
      <c r="R28" s="489">
        <f t="shared" si="1"/>
        <v>0</v>
      </c>
    </row>
    <row r="29" spans="1:18" s="1057" customFormat="1">
      <c r="A29" s="1203"/>
      <c r="B29" s="1284">
        <f>margins!J20</f>
        <v>7.875</v>
      </c>
      <c r="C29" s="1241">
        <v>104.352</v>
      </c>
      <c r="D29" s="1240">
        <v>104.25200000000001</v>
      </c>
      <c r="E29" s="1239">
        <v>104.25200000000001</v>
      </c>
      <c r="N29" s="1200"/>
      <c r="P29" s="481" t="s">
        <v>503</v>
      </c>
      <c r="Q29" s="485" t="s">
        <v>203</v>
      </c>
      <c r="R29" s="489">
        <f t="shared" si="1"/>
        <v>0</v>
      </c>
    </row>
    <row r="30" spans="1:18" s="1057" customFormat="1">
      <c r="A30" s="1203"/>
      <c r="B30" s="1284">
        <f>margins!J21</f>
        <v>8</v>
      </c>
      <c r="C30" s="1241">
        <v>104.79</v>
      </c>
      <c r="D30" s="1240">
        <v>104.69</v>
      </c>
      <c r="E30" s="1239">
        <v>104.69</v>
      </c>
      <c r="N30" s="1200"/>
      <c r="P30" s="481" t="s">
        <v>217</v>
      </c>
      <c r="Q30" s="485" t="s">
        <v>203</v>
      </c>
      <c r="R30" s="489">
        <f>IF(Q30=30,0, IF(Q30=45,M15, 0))</f>
        <v>0</v>
      </c>
    </row>
    <row r="31" spans="1:18" s="1057" customFormat="1" ht="15.75" thickBot="1">
      <c r="A31" s="1203"/>
      <c r="B31" s="1284">
        <f>margins!J22</f>
        <v>8.125</v>
      </c>
      <c r="C31" s="1241">
        <v>105.227</v>
      </c>
      <c r="D31" s="1240">
        <v>105.12700000000001</v>
      </c>
      <c r="E31" s="1239">
        <v>105.12700000000001</v>
      </c>
      <c r="N31" s="1200"/>
      <c r="P31" s="482" t="s">
        <v>218</v>
      </c>
      <c r="Q31" s="486"/>
      <c r="R31" s="490">
        <f>SUM(R17:R30)</f>
        <v>0</v>
      </c>
    </row>
    <row r="32" spans="1:18" s="1057" customFormat="1" ht="15.75" thickBot="1">
      <c r="A32" s="1203"/>
      <c r="B32" s="1284">
        <f>margins!J23</f>
        <v>8.25</v>
      </c>
      <c r="C32" s="1241">
        <v>105.602</v>
      </c>
      <c r="D32" s="1240">
        <v>105.50200000000001</v>
      </c>
      <c r="E32" s="1239">
        <v>105.50200000000001</v>
      </c>
      <c r="N32" s="1200"/>
      <c r="P32" s="473"/>
      <c r="Q32" s="474"/>
      <c r="R32" s="483"/>
    </row>
    <row r="33" spans="1:18" s="1057" customFormat="1" ht="15.75" thickBot="1">
      <c r="A33" s="1203"/>
      <c r="B33" s="1284">
        <f>margins!J24</f>
        <v>8.375</v>
      </c>
      <c r="C33" s="1241">
        <v>105.977</v>
      </c>
      <c r="D33" s="1240">
        <v>105.87700000000001</v>
      </c>
      <c r="E33" s="1239">
        <v>105.87700000000001</v>
      </c>
      <c r="N33" s="1200"/>
      <c r="P33" s="475" t="s">
        <v>219</v>
      </c>
      <c r="Q33" s="476"/>
      <c r="R33" s="663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104.25200000000001</v>
      </c>
    </row>
    <row r="34" spans="1:18" s="1057" customFormat="1" ht="15.75" thickBot="1">
      <c r="A34" s="1203"/>
      <c r="B34" s="1284">
        <f>margins!J25</f>
        <v>8.5</v>
      </c>
      <c r="C34" s="1241">
        <v>106.352</v>
      </c>
      <c r="D34" s="1240">
        <v>106.25200000000001</v>
      </c>
      <c r="E34" s="1239">
        <v>106.25200000000001</v>
      </c>
      <c r="G34" s="1202"/>
      <c r="H34"/>
      <c r="I34"/>
      <c r="J34"/>
      <c r="N34" s="1200"/>
      <c r="P34" s="470"/>
      <c r="Q34" s="470"/>
      <c r="R34" s="470"/>
    </row>
    <row r="35" spans="1:18" s="1057" customFormat="1" ht="15.75" thickBot="1">
      <c r="A35" s="1203"/>
      <c r="B35" s="1284">
        <f>margins!J26</f>
        <v>8.625</v>
      </c>
      <c r="C35" s="1241">
        <v>106.727</v>
      </c>
      <c r="D35" s="1240">
        <v>106.62700000000001</v>
      </c>
      <c r="E35" s="1239">
        <v>106.62700000000001</v>
      </c>
      <c r="G35"/>
      <c r="H35"/>
      <c r="I35"/>
      <c r="J35"/>
      <c r="N35" s="1200"/>
      <c r="P35" s="846" t="s">
        <v>702</v>
      </c>
      <c r="Q35" s="847"/>
      <c r="R35" s="848"/>
    </row>
    <row r="36" spans="1:18" s="1057" customFormat="1">
      <c r="A36" s="1203"/>
      <c r="B36" s="1284">
        <f>margins!J27</f>
        <v>8.75</v>
      </c>
      <c r="C36" s="1241">
        <v>107.102</v>
      </c>
      <c r="D36" s="1240">
        <v>107.00200000000001</v>
      </c>
      <c r="E36" s="1239">
        <v>107.00200000000001</v>
      </c>
      <c r="G36"/>
      <c r="H36"/>
      <c r="I36"/>
      <c r="J36"/>
      <c r="N36" s="1200"/>
      <c r="P36"/>
      <c r="Q36"/>
      <c r="R36"/>
    </row>
    <row r="37" spans="1:18" s="1057" customFormat="1">
      <c r="A37" s="1203"/>
      <c r="B37" s="1284">
        <f>margins!J28</f>
        <v>8.875</v>
      </c>
      <c r="C37" s="1241">
        <v>107.41500000000001</v>
      </c>
      <c r="D37" s="1240">
        <v>107.315</v>
      </c>
      <c r="E37" s="1239">
        <v>107.315</v>
      </c>
      <c r="G37"/>
      <c r="H37"/>
      <c r="I37"/>
      <c r="J37"/>
      <c r="N37" s="1200"/>
      <c r="P37"/>
      <c r="Q37"/>
      <c r="R37"/>
    </row>
    <row r="38" spans="1:18" s="1057" customFormat="1">
      <c r="A38" s="1203"/>
      <c r="B38" s="1284">
        <f>margins!J29</f>
        <v>9</v>
      </c>
      <c r="C38" s="1241">
        <v>107.66500000000001</v>
      </c>
      <c r="D38" s="1240">
        <v>107.565</v>
      </c>
      <c r="E38" s="1239">
        <v>107.565</v>
      </c>
      <c r="G38"/>
      <c r="H38"/>
      <c r="I38"/>
      <c r="J38"/>
      <c r="N38" s="1200"/>
      <c r="P38"/>
      <c r="Q38"/>
      <c r="R38"/>
    </row>
    <row r="39" spans="1:18" s="1057" customFormat="1">
      <c r="A39" s="1203"/>
      <c r="B39" s="1284">
        <f>margins!J30</f>
        <v>9.125</v>
      </c>
      <c r="C39" s="1241">
        <v>107.91500000000001</v>
      </c>
      <c r="D39" s="1240">
        <v>107.815</v>
      </c>
      <c r="E39" s="1239">
        <v>107.815</v>
      </c>
      <c r="G39"/>
      <c r="H39"/>
      <c r="I39"/>
      <c r="J39"/>
      <c r="N39" s="1200"/>
    </row>
    <row r="40" spans="1:18" s="1057" customFormat="1">
      <c r="A40" s="1203"/>
      <c r="B40" s="1284">
        <f>margins!J31</f>
        <v>9.25</v>
      </c>
      <c r="C40" s="1241">
        <v>108.16500000000001</v>
      </c>
      <c r="D40" s="1240">
        <v>108.065</v>
      </c>
      <c r="E40" s="1239">
        <v>108.065</v>
      </c>
      <c r="G40"/>
      <c r="H40"/>
      <c r="I40"/>
      <c r="J40"/>
      <c r="N40" s="1200"/>
    </row>
    <row r="41" spans="1:18" s="1057" customFormat="1">
      <c r="A41" s="1203"/>
      <c r="B41" s="1284">
        <f>margins!J32</f>
        <v>9.375</v>
      </c>
      <c r="C41" s="1241">
        <v>108.41500000000001</v>
      </c>
      <c r="D41" s="1240">
        <v>108.315</v>
      </c>
      <c r="E41" s="1239">
        <v>108.315</v>
      </c>
      <c r="G41"/>
      <c r="H41"/>
      <c r="I41"/>
      <c r="J41"/>
      <c r="N41" s="1200"/>
    </row>
    <row r="42" spans="1:18" s="1057" customFormat="1" ht="15.75" thickBot="1">
      <c r="A42" s="1203"/>
      <c r="B42" s="1283">
        <f>margins!J33</f>
        <v>9.5</v>
      </c>
      <c r="C42" s="1237">
        <v>108.66500000000001</v>
      </c>
      <c r="D42" s="1236">
        <v>108.565</v>
      </c>
      <c r="E42" s="1324">
        <v>108.565</v>
      </c>
      <c r="G42" s="1202"/>
      <c r="N42" s="1200"/>
    </row>
    <row r="43" spans="1:18" s="1057" customFormat="1">
      <c r="A43" s="1203"/>
      <c r="B43" s="1235"/>
      <c r="C43" s="1234"/>
      <c r="D43" s="1727"/>
      <c r="E43" s="1727"/>
      <c r="G43"/>
      <c r="H43"/>
      <c r="I43"/>
      <c r="J43"/>
      <c r="N43" s="1200"/>
    </row>
    <row r="44" spans="1:18" s="1057" customFormat="1" ht="15.75" thickBot="1">
      <c r="A44" s="1203"/>
      <c r="B44" s="1235"/>
      <c r="C44" s="1234"/>
      <c r="D44" s="1234"/>
      <c r="E44" s="1234"/>
      <c r="G44"/>
      <c r="H44"/>
      <c r="I44"/>
      <c r="J44"/>
      <c r="N44" s="1200"/>
    </row>
    <row r="45" spans="1:18" s="1057" customFormat="1" ht="15.75" thickBot="1">
      <c r="A45" s="1203"/>
      <c r="B45" s="1202" t="s">
        <v>244</v>
      </c>
      <c r="C45" s="1202"/>
      <c r="D45" s="1202"/>
      <c r="E45" s="1"/>
      <c r="F45" s="1743" t="s">
        <v>329</v>
      </c>
      <c r="G45" s="1744"/>
      <c r="H45" s="1744"/>
      <c r="I45" s="1744"/>
      <c r="J45" s="1744"/>
      <c r="K45" s="1745"/>
      <c r="L45"/>
      <c r="M45"/>
      <c r="N45" s="1200"/>
    </row>
    <row r="46" spans="1:18" s="1057" customFormat="1" ht="15.75" thickBot="1">
      <c r="A46" s="1203"/>
      <c r="B46" s="1441"/>
      <c r="C46" s="1455" t="s">
        <v>203</v>
      </c>
      <c r="D46" s="1454"/>
      <c r="E46" s="1455" t="s">
        <v>203</v>
      </c>
      <c r="F46" s="1222" t="s">
        <v>15</v>
      </c>
      <c r="G46" s="1437" t="s">
        <v>16</v>
      </c>
      <c r="H46" s="1425" t="s">
        <v>17</v>
      </c>
      <c r="I46" s="1438" t="s">
        <v>18</v>
      </c>
      <c r="J46" s="1439" t="s">
        <v>19</v>
      </c>
      <c r="K46" s="1440" t="s">
        <v>20</v>
      </c>
      <c r="L46"/>
      <c r="M46"/>
      <c r="N46" s="1200"/>
    </row>
    <row r="47" spans="1:18" s="1057" customFormat="1">
      <c r="A47" s="1203"/>
      <c r="B47" s="1788" t="s">
        <v>114</v>
      </c>
      <c r="C47" s="1717" t="s">
        <v>691</v>
      </c>
      <c r="D47" s="1718"/>
      <c r="E47" s="1719"/>
      <c r="F47" s="1213">
        <v>0.49999999999999989</v>
      </c>
      <c r="G47" s="1212">
        <v>0.12499999999999989</v>
      </c>
      <c r="H47" s="1212">
        <v>-0.12500000000000011</v>
      </c>
      <c r="I47" s="1212">
        <v>-1</v>
      </c>
      <c r="J47" s="1212">
        <v>-2.5</v>
      </c>
      <c r="K47" s="1211">
        <v>-3.75</v>
      </c>
      <c r="L47"/>
      <c r="M47"/>
      <c r="N47" s="1200"/>
    </row>
    <row r="48" spans="1:18" s="1057" customFormat="1" ht="15.75" thickBot="1">
      <c r="A48" s="1203"/>
      <c r="B48" s="1789"/>
      <c r="C48" s="1711" t="s">
        <v>692</v>
      </c>
      <c r="D48" s="1712"/>
      <c r="E48" s="1713"/>
      <c r="F48" s="1216">
        <v>0.5</v>
      </c>
      <c r="G48" s="1215">
        <v>0.12499999999999989</v>
      </c>
      <c r="H48" s="1215">
        <v>-0.12500000000000011</v>
      </c>
      <c r="I48" s="1215">
        <v>-1</v>
      </c>
      <c r="J48" s="1215">
        <v>-2.5</v>
      </c>
      <c r="K48" s="1214">
        <v>-3.75</v>
      </c>
      <c r="L48"/>
      <c r="M48"/>
      <c r="N48" s="1200"/>
    </row>
    <row r="49" spans="1:14" s="1057" customFormat="1" ht="15" customHeight="1">
      <c r="A49" s="1203"/>
      <c r="B49" s="1746" t="s">
        <v>697</v>
      </c>
      <c r="C49" s="1717" t="s">
        <v>117</v>
      </c>
      <c r="D49" s="1718"/>
      <c r="E49" s="1719"/>
      <c r="F49" s="1275">
        <v>0.5</v>
      </c>
      <c r="G49" s="1274">
        <v>0.5</v>
      </c>
      <c r="H49" s="1274">
        <v>0.5</v>
      </c>
      <c r="I49" s="1274">
        <v>0.625</v>
      </c>
      <c r="J49" s="1274">
        <v>0.625</v>
      </c>
      <c r="K49" s="1273">
        <v>0.625</v>
      </c>
      <c r="L49"/>
      <c r="M49"/>
      <c r="N49" s="1200"/>
    </row>
    <row r="50" spans="1:14" s="1057" customFormat="1" ht="15.75" thickBot="1">
      <c r="A50" s="1203"/>
      <c r="B50" s="1748"/>
      <c r="C50" s="1714" t="s">
        <v>118</v>
      </c>
      <c r="D50" s="1715"/>
      <c r="E50" s="1716"/>
      <c r="F50" s="1278">
        <v>0</v>
      </c>
      <c r="G50" s="1277">
        <v>0</v>
      </c>
      <c r="H50" s="1277">
        <v>0</v>
      </c>
      <c r="I50" s="1277">
        <v>0</v>
      </c>
      <c r="J50" s="1277">
        <v>0</v>
      </c>
      <c r="K50" s="1276">
        <v>0</v>
      </c>
      <c r="L50"/>
      <c r="M50"/>
      <c r="N50" s="1200"/>
    </row>
    <row r="51" spans="1:14" s="1057" customFormat="1">
      <c r="A51" s="1203"/>
      <c r="L51"/>
      <c r="M51"/>
      <c r="N51" s="1200"/>
    </row>
    <row r="52" spans="1:14" s="1057" customFormat="1" ht="15.75" thickBot="1">
      <c r="A52" s="1203"/>
      <c r="L52"/>
      <c r="M52"/>
      <c r="N52" s="1200"/>
    </row>
    <row r="53" spans="1:14" s="1057" customFormat="1" ht="15.75" thickBot="1">
      <c r="A53" s="1203"/>
      <c r="B53" s="1202" t="s">
        <v>763</v>
      </c>
      <c r="C53" s="1202"/>
      <c r="D53" s="1202"/>
      <c r="E53" s="1"/>
      <c r="F53" s="1743" t="s">
        <v>329</v>
      </c>
      <c r="G53" s="1744"/>
      <c r="H53" s="1744"/>
      <c r="I53" s="1744"/>
      <c r="J53" s="1744"/>
      <c r="K53" s="1745"/>
      <c r="L53"/>
      <c r="M53"/>
      <c r="N53" s="1200"/>
    </row>
    <row r="54" spans="1:14" s="1057" customFormat="1" ht="15.75" thickBot="1">
      <c r="A54" s="1203"/>
      <c r="B54" s="1708"/>
      <c r="C54" s="1709"/>
      <c r="D54" s="1709"/>
      <c r="E54" s="1709"/>
      <c r="F54" s="1222" t="s">
        <v>15</v>
      </c>
      <c r="G54" s="1425" t="s">
        <v>16</v>
      </c>
      <c r="H54" s="1425" t="s">
        <v>17</v>
      </c>
      <c r="I54" s="1425" t="s">
        <v>18</v>
      </c>
      <c r="J54" s="1425" t="s">
        <v>19</v>
      </c>
      <c r="K54" s="1440" t="s">
        <v>20</v>
      </c>
      <c r="L54"/>
      <c r="M54"/>
      <c r="N54" s="1200"/>
    </row>
    <row r="55" spans="1:14" s="1057" customFormat="1">
      <c r="A55" s="1203"/>
      <c r="B55" s="1788" t="s">
        <v>47</v>
      </c>
      <c r="C55" s="1717" t="s">
        <v>745</v>
      </c>
      <c r="D55" s="1718"/>
      <c r="E55" s="1719"/>
      <c r="F55" s="1213">
        <v>-0.75</v>
      </c>
      <c r="G55" s="1212">
        <v>-0.75</v>
      </c>
      <c r="H55" s="1212">
        <v>-0.875</v>
      </c>
      <c r="I55" s="1212">
        <v>-0.875</v>
      </c>
      <c r="J55" s="1212">
        <v>-0.875</v>
      </c>
      <c r="K55" s="1211">
        <v>-1.75</v>
      </c>
      <c r="L55"/>
      <c r="M55"/>
      <c r="N55" s="1200"/>
    </row>
    <row r="56" spans="1:14" s="1057" customFormat="1">
      <c r="A56" s="1203"/>
      <c r="B56" s="1749"/>
      <c r="C56" s="1714" t="s">
        <v>633</v>
      </c>
      <c r="D56" s="1715"/>
      <c r="E56" s="1716"/>
      <c r="F56" s="1216">
        <v>-0.25</v>
      </c>
      <c r="G56" s="1215">
        <v>-0.25</v>
      </c>
      <c r="H56" s="1215">
        <v>-0.25</v>
      </c>
      <c r="I56" s="1215">
        <v>-0.25</v>
      </c>
      <c r="J56" s="1215">
        <v>-0.25</v>
      </c>
      <c r="K56" s="1214">
        <v>-0.25</v>
      </c>
      <c r="L56"/>
      <c r="M56"/>
      <c r="N56" s="1200"/>
    </row>
    <row r="57" spans="1:14" s="1057" customFormat="1">
      <c r="A57" s="1203"/>
      <c r="B57" s="1749"/>
      <c r="C57" s="1714" t="s">
        <v>403</v>
      </c>
      <c r="D57" s="1715"/>
      <c r="E57" s="1716"/>
      <c r="F57" s="1216">
        <v>0</v>
      </c>
      <c r="G57" s="1215">
        <v>0</v>
      </c>
      <c r="H57" s="1215">
        <v>0</v>
      </c>
      <c r="I57" s="1215">
        <v>0</v>
      </c>
      <c r="J57" s="1215">
        <v>0</v>
      </c>
      <c r="K57" s="1214">
        <v>0</v>
      </c>
      <c r="L57"/>
      <c r="M57"/>
      <c r="N57" s="1200"/>
    </row>
    <row r="58" spans="1:14" s="1057" customFormat="1">
      <c r="A58" s="1203"/>
      <c r="B58" s="1749"/>
      <c r="C58" s="1714" t="s">
        <v>404</v>
      </c>
      <c r="D58" s="1715"/>
      <c r="E58" s="1716"/>
      <c r="F58" s="1216">
        <v>0</v>
      </c>
      <c r="G58" s="1215">
        <v>0</v>
      </c>
      <c r="H58" s="1215">
        <v>0</v>
      </c>
      <c r="I58" s="1215">
        <v>0</v>
      </c>
      <c r="J58" s="1215">
        <v>0</v>
      </c>
      <c r="K58" s="1214">
        <v>0</v>
      </c>
      <c r="L58"/>
      <c r="M58"/>
      <c r="N58" s="1200"/>
    </row>
    <row r="59" spans="1:14" s="1057" customFormat="1" ht="15.75" thickBot="1">
      <c r="A59" s="1203"/>
      <c r="B59" s="1789"/>
      <c r="C59" s="1714" t="s">
        <v>405</v>
      </c>
      <c r="D59" s="1715"/>
      <c r="E59" s="1716"/>
      <c r="F59" s="1216">
        <v>0</v>
      </c>
      <c r="G59" s="1215">
        <v>0</v>
      </c>
      <c r="H59" s="1215">
        <v>0</v>
      </c>
      <c r="I59" s="1215">
        <v>0</v>
      </c>
      <c r="J59" s="1215">
        <v>0</v>
      </c>
      <c r="K59" s="1214">
        <v>0</v>
      </c>
      <c r="L59"/>
      <c r="M59"/>
      <c r="N59" s="1200"/>
    </row>
    <row r="60" spans="1:14" s="1057" customFormat="1" ht="15.75" thickBot="1">
      <c r="A60" s="1203"/>
      <c r="B60" s="1223" t="s">
        <v>56</v>
      </c>
      <c r="C60" s="1717" t="s">
        <v>59</v>
      </c>
      <c r="D60" s="1718"/>
      <c r="E60" s="1719"/>
      <c r="F60" s="1213">
        <v>-0.375</v>
      </c>
      <c r="G60" s="1212">
        <v>-0.375</v>
      </c>
      <c r="H60" s="1212">
        <v>-0.375</v>
      </c>
      <c r="I60" s="1212">
        <v>-0.5</v>
      </c>
      <c r="J60" s="1212" t="s">
        <v>14</v>
      </c>
      <c r="K60" s="1211" t="s">
        <v>14</v>
      </c>
      <c r="L60"/>
      <c r="M60"/>
      <c r="N60" s="1200"/>
    </row>
    <row r="61" spans="1:14" s="1057" customFormat="1" ht="15" customHeight="1">
      <c r="A61" s="1203"/>
      <c r="B61" s="1788" t="s">
        <v>632</v>
      </c>
      <c r="C61" s="1714" t="s">
        <v>63</v>
      </c>
      <c r="D61" s="1715"/>
      <c r="E61" s="1716"/>
      <c r="F61" s="1275">
        <v>-0.125</v>
      </c>
      <c r="G61" s="1274">
        <v>-0.125</v>
      </c>
      <c r="H61" s="1274">
        <v>-0.125</v>
      </c>
      <c r="I61" s="1274">
        <v>-0.25</v>
      </c>
      <c r="J61" s="1274">
        <v>-0.5</v>
      </c>
      <c r="K61" s="1273" t="s">
        <v>14</v>
      </c>
      <c r="L61"/>
      <c r="M61"/>
      <c r="N61" s="1200"/>
    </row>
    <row r="62" spans="1:14" s="1057" customFormat="1">
      <c r="A62" s="1203"/>
      <c r="B62" s="1749"/>
      <c r="C62" s="1714" t="s">
        <v>194</v>
      </c>
      <c r="D62" s="1715"/>
      <c r="E62" s="1716"/>
      <c r="F62" s="1275">
        <v>-1.375</v>
      </c>
      <c r="G62" s="1274">
        <v>-1.375</v>
      </c>
      <c r="H62" s="1274">
        <v>-1.375</v>
      </c>
      <c r="I62" s="1274">
        <v>-1.375</v>
      </c>
      <c r="J62" s="1274">
        <v>-1.375</v>
      </c>
      <c r="K62" s="1273" t="s">
        <v>14</v>
      </c>
      <c r="L62"/>
      <c r="M62"/>
      <c r="N62" s="1200"/>
    </row>
    <row r="63" spans="1:14" s="1057" customFormat="1" ht="15.75" thickBot="1">
      <c r="A63" s="1203"/>
      <c r="B63" s="1789"/>
      <c r="C63" s="1711" t="s">
        <v>64</v>
      </c>
      <c r="D63" s="1712"/>
      <c r="E63" s="1713"/>
      <c r="F63" s="1209">
        <v>-0.5</v>
      </c>
      <c r="G63" s="1208">
        <v>-0.5</v>
      </c>
      <c r="H63" s="1208">
        <v>-0.5</v>
      </c>
      <c r="I63" s="1208">
        <v>-0.5</v>
      </c>
      <c r="J63" s="1208">
        <v>-0.625</v>
      </c>
      <c r="K63" s="1207" t="s">
        <v>14</v>
      </c>
      <c r="L63"/>
      <c r="M63"/>
      <c r="N63" s="1200"/>
    </row>
    <row r="64" spans="1:14" s="1057" customFormat="1">
      <c r="A64" s="1203"/>
      <c r="B64" s="1788" t="s">
        <v>65</v>
      </c>
      <c r="C64" s="1717" t="s">
        <v>140</v>
      </c>
      <c r="D64" s="1718"/>
      <c r="E64" s="1719"/>
      <c r="F64" s="1213">
        <v>-0.25</v>
      </c>
      <c r="G64" s="1212">
        <v>-0.25</v>
      </c>
      <c r="H64" s="1212">
        <v>-0.25</v>
      </c>
      <c r="I64" s="1212">
        <v>-0.25</v>
      </c>
      <c r="J64" s="1212">
        <v>-0.25</v>
      </c>
      <c r="K64" s="1211">
        <v>-0.375</v>
      </c>
      <c r="L64"/>
      <c r="M64"/>
      <c r="N64" s="1200"/>
    </row>
    <row r="65" spans="1:14" s="1057" customFormat="1" ht="15" customHeight="1" thickBot="1">
      <c r="A65" s="1203"/>
      <c r="B65" s="1789"/>
      <c r="C65" s="1711" t="s">
        <v>141</v>
      </c>
      <c r="D65" s="1712"/>
      <c r="E65" s="1713"/>
      <c r="F65" s="1209">
        <v>-0.5</v>
      </c>
      <c r="G65" s="1208">
        <v>-0.5</v>
      </c>
      <c r="H65" s="1208">
        <v>-0.5</v>
      </c>
      <c r="I65" s="1208">
        <v>-0.5</v>
      </c>
      <c r="J65" s="1208">
        <v>-0.625</v>
      </c>
      <c r="K65" s="1207">
        <v>-0.75</v>
      </c>
      <c r="L65"/>
      <c r="M65"/>
      <c r="N65" s="1200"/>
    </row>
    <row r="66" spans="1:14" s="1057" customFormat="1" ht="25.5" customHeight="1">
      <c r="A66" s="1203"/>
      <c r="B66" s="1746" t="s">
        <v>631</v>
      </c>
      <c r="C66" s="1720" t="s">
        <v>99</v>
      </c>
      <c r="D66" s="1721"/>
      <c r="E66" s="1722"/>
      <c r="F66" s="1213">
        <v>1</v>
      </c>
      <c r="G66" s="1212">
        <v>1</v>
      </c>
      <c r="H66" s="1212">
        <v>1</v>
      </c>
      <c r="I66" s="1212">
        <v>1</v>
      </c>
      <c r="J66" s="1212">
        <v>1.125</v>
      </c>
      <c r="K66" s="1211">
        <v>1.125</v>
      </c>
      <c r="L66"/>
      <c r="M66"/>
      <c r="N66" s="1200"/>
    </row>
    <row r="67" spans="1:14" s="1057" customFormat="1" ht="15" customHeight="1">
      <c r="A67" s="1203"/>
      <c r="B67" s="1747"/>
      <c r="C67" s="1714" t="s">
        <v>100</v>
      </c>
      <c r="D67" s="1715"/>
      <c r="E67" s="1716"/>
      <c r="F67" s="1275">
        <v>0.75</v>
      </c>
      <c r="G67" s="1274">
        <v>0.75</v>
      </c>
      <c r="H67" s="1274">
        <v>0.75</v>
      </c>
      <c r="I67" s="1274">
        <v>0.75</v>
      </c>
      <c r="J67" s="1274">
        <v>0.875</v>
      </c>
      <c r="K67" s="1273">
        <v>0.875</v>
      </c>
      <c r="L67"/>
      <c r="M67"/>
      <c r="N67" s="1200"/>
    </row>
    <row r="68" spans="1:14" s="1057" customFormat="1">
      <c r="A68" s="1203"/>
      <c r="B68" s="1747"/>
      <c r="C68" s="1714" t="s">
        <v>7</v>
      </c>
      <c r="D68" s="1715"/>
      <c r="E68" s="1716"/>
      <c r="F68" s="1216">
        <v>0.5</v>
      </c>
      <c r="G68" s="1215">
        <v>0.5</v>
      </c>
      <c r="H68" s="1215">
        <v>0.5</v>
      </c>
      <c r="I68" s="1215">
        <v>0.5</v>
      </c>
      <c r="J68" s="1215">
        <v>0.625</v>
      </c>
      <c r="K68" s="1214">
        <v>0.625</v>
      </c>
      <c r="L68"/>
      <c r="M68"/>
      <c r="N68" s="1200"/>
    </row>
    <row r="69" spans="1:14" s="1057" customFormat="1">
      <c r="A69" s="1203"/>
      <c r="B69" s="1747"/>
      <c r="C69" s="1714" t="s">
        <v>9</v>
      </c>
      <c r="D69" s="1715"/>
      <c r="E69" s="1716"/>
      <c r="F69" s="1216">
        <v>0</v>
      </c>
      <c r="G69" s="1215">
        <v>0</v>
      </c>
      <c r="H69" s="1215">
        <v>0</v>
      </c>
      <c r="I69" s="1215">
        <v>0</v>
      </c>
      <c r="J69" s="1215">
        <v>0.125</v>
      </c>
      <c r="K69" s="1214">
        <v>0.125</v>
      </c>
      <c r="L69"/>
      <c r="M69"/>
      <c r="N69" s="1200"/>
    </row>
    <row r="70" spans="1:14" s="1057" customFormat="1">
      <c r="A70" s="1203"/>
      <c r="B70" s="1747"/>
      <c r="C70" s="1714" t="s">
        <v>11</v>
      </c>
      <c r="D70" s="1715"/>
      <c r="E70" s="1716"/>
      <c r="F70" s="1216">
        <v>-0.5</v>
      </c>
      <c r="G70" s="1215">
        <v>-0.5</v>
      </c>
      <c r="H70" s="1215">
        <v>-0.5</v>
      </c>
      <c r="I70" s="1215">
        <v>-0.5</v>
      </c>
      <c r="J70" s="1215">
        <v>-0.50000000000000022</v>
      </c>
      <c r="K70" s="1214">
        <v>-0.50000000000000022</v>
      </c>
      <c r="L70"/>
      <c r="M70"/>
      <c r="N70" s="1200"/>
    </row>
    <row r="71" spans="1:14" s="1057" customFormat="1" ht="15.75" thickBot="1">
      <c r="A71" s="1203"/>
      <c r="B71" s="1748"/>
      <c r="C71" s="1711" t="s">
        <v>101</v>
      </c>
      <c r="D71" s="1712"/>
      <c r="E71" s="1713"/>
      <c r="F71" s="1209">
        <v>-1.0000000000000002</v>
      </c>
      <c r="G71" s="1208">
        <v>-1.0000000000000002</v>
      </c>
      <c r="H71" s="1208">
        <v>-1</v>
      </c>
      <c r="I71" s="1208">
        <v>-1</v>
      </c>
      <c r="J71" s="1208">
        <v>-1</v>
      </c>
      <c r="K71" s="1207">
        <v>-1</v>
      </c>
      <c r="L71"/>
      <c r="M71"/>
      <c r="N71" s="1200"/>
    </row>
    <row r="72" spans="1:14" s="1057" customFormat="1">
      <c r="A72" s="1203"/>
      <c r="B72" s="1426" t="s">
        <v>693</v>
      </c>
      <c r="C72" s="1720" t="s">
        <v>99</v>
      </c>
      <c r="D72" s="1721"/>
      <c r="E72" s="1722"/>
      <c r="F72" s="1213">
        <v>0.625</v>
      </c>
      <c r="G72" s="1212">
        <v>0.625</v>
      </c>
      <c r="H72" s="1212">
        <v>0.625</v>
      </c>
      <c r="I72" s="1212">
        <v>0.625</v>
      </c>
      <c r="J72" s="1212">
        <v>0.75</v>
      </c>
      <c r="K72" s="1211">
        <v>0.75</v>
      </c>
      <c r="L72"/>
      <c r="M72"/>
      <c r="N72" s="1200"/>
    </row>
    <row r="73" spans="1:14" s="1057" customFormat="1">
      <c r="A73" s="1203"/>
      <c r="B73" s="1427" t="s">
        <v>253</v>
      </c>
      <c r="C73" s="1714" t="s">
        <v>100</v>
      </c>
      <c r="D73" s="1715"/>
      <c r="E73" s="1716"/>
      <c r="F73" s="1294">
        <v>0.375</v>
      </c>
      <c r="G73" s="1293">
        <v>0.375</v>
      </c>
      <c r="H73" s="1293">
        <v>0.375</v>
      </c>
      <c r="I73" s="1293">
        <v>0.375</v>
      </c>
      <c r="J73" s="1293">
        <v>0.5</v>
      </c>
      <c r="K73" s="1292">
        <v>0.5</v>
      </c>
      <c r="L73"/>
      <c r="M73"/>
      <c r="N73" s="1200"/>
    </row>
    <row r="74" spans="1:14" s="1057" customFormat="1">
      <c r="A74" s="1203"/>
      <c r="B74" s="1427" t="s">
        <v>694</v>
      </c>
      <c r="C74" s="1714" t="s">
        <v>7</v>
      </c>
      <c r="D74" s="1715"/>
      <c r="E74" s="1716"/>
      <c r="F74" s="1216">
        <v>0.125</v>
      </c>
      <c r="G74" s="1215">
        <v>0.125</v>
      </c>
      <c r="H74" s="1215">
        <v>0.125</v>
      </c>
      <c r="I74" s="1215">
        <v>0.125</v>
      </c>
      <c r="J74" s="1215">
        <v>0.25</v>
      </c>
      <c r="K74" s="1214">
        <v>0.25</v>
      </c>
      <c r="L74"/>
      <c r="M74"/>
      <c r="N74" s="1200"/>
    </row>
    <row r="75" spans="1:14" s="1057" customFormat="1">
      <c r="A75" s="1203"/>
      <c r="B75" s="1427" t="s">
        <v>216</v>
      </c>
      <c r="C75" s="1714" t="s">
        <v>9</v>
      </c>
      <c r="D75" s="1715"/>
      <c r="E75" s="1716"/>
      <c r="F75" s="1216">
        <v>-0.375</v>
      </c>
      <c r="G75" s="1215">
        <v>-0.375</v>
      </c>
      <c r="H75" s="1215">
        <v>-0.375</v>
      </c>
      <c r="I75" s="1215">
        <v>-0.375</v>
      </c>
      <c r="J75" s="1215">
        <v>-0.25</v>
      </c>
      <c r="K75" s="1214">
        <v>-0.25</v>
      </c>
      <c r="L75"/>
      <c r="M75"/>
      <c r="N75" s="1200"/>
    </row>
    <row r="76" spans="1:14" s="1057" customFormat="1">
      <c r="A76" s="1203"/>
      <c r="B76" s="1427" t="s">
        <v>695</v>
      </c>
      <c r="C76" s="1714" t="s">
        <v>11</v>
      </c>
      <c r="D76" s="1715"/>
      <c r="E76" s="1716"/>
      <c r="F76" s="1216">
        <v>-0.875</v>
      </c>
      <c r="G76" s="1215">
        <v>-0.875</v>
      </c>
      <c r="H76" s="1215">
        <v>-0.875</v>
      </c>
      <c r="I76" s="1215">
        <v>-0.875</v>
      </c>
      <c r="J76" s="1215">
        <v>-0.87500000000000022</v>
      </c>
      <c r="K76" s="1214">
        <v>-0.87500000000000022</v>
      </c>
      <c r="L76"/>
      <c r="M76"/>
      <c r="N76" s="1200"/>
    </row>
    <row r="77" spans="1:14" s="1057" customFormat="1" ht="15.75" thickBot="1">
      <c r="A77" s="1203"/>
      <c r="B77" s="1210"/>
      <c r="C77" s="1740" t="s">
        <v>101</v>
      </c>
      <c r="D77" s="1741"/>
      <c r="E77" s="1742"/>
      <c r="F77" s="1463">
        <v>-1.0000000000000002</v>
      </c>
      <c r="G77" s="1279">
        <v>-1.0000000000000002</v>
      </c>
      <c r="H77" s="1279">
        <v>-1</v>
      </c>
      <c r="I77" s="1279">
        <v>-1</v>
      </c>
      <c r="J77" s="1279">
        <v>-1</v>
      </c>
      <c r="K77" s="1434">
        <v>-1</v>
      </c>
      <c r="L77"/>
      <c r="M77"/>
      <c r="N77" s="1200"/>
    </row>
    <row r="78" spans="1:14" s="1057" customFormat="1">
      <c r="A78" s="1203"/>
      <c r="B78" s="1788" t="s">
        <v>68</v>
      </c>
      <c r="C78" s="1717" t="s">
        <v>69</v>
      </c>
      <c r="D78" s="1718"/>
      <c r="E78" s="1719"/>
      <c r="F78" s="1213">
        <v>-0.25</v>
      </c>
      <c r="G78" s="1212">
        <v>-0.25</v>
      </c>
      <c r="H78" s="1212">
        <v>-0.25</v>
      </c>
      <c r="I78" s="1212">
        <v>-0.25</v>
      </c>
      <c r="J78" s="1212">
        <v>-0.25</v>
      </c>
      <c r="K78" s="1211">
        <v>-0.5</v>
      </c>
      <c r="L78"/>
      <c r="M78"/>
      <c r="N78" s="1200"/>
    </row>
    <row r="79" spans="1:14" s="1057" customFormat="1">
      <c r="A79" s="1203"/>
      <c r="B79" s="1749"/>
      <c r="C79" s="1714" t="s">
        <v>508</v>
      </c>
      <c r="D79" s="1715"/>
      <c r="E79" s="1716"/>
      <c r="F79" s="1216">
        <v>-1</v>
      </c>
      <c r="G79" s="1215">
        <v>-1</v>
      </c>
      <c r="H79" s="1215">
        <v>-1</v>
      </c>
      <c r="I79" s="1215">
        <v>-1</v>
      </c>
      <c r="J79" s="1215">
        <v>-1</v>
      </c>
      <c r="K79" s="1214">
        <v>-1</v>
      </c>
      <c r="L79"/>
      <c r="M79"/>
      <c r="N79" s="1200"/>
    </row>
    <row r="80" spans="1:14" s="1057" customFormat="1" ht="15.75" thickBot="1">
      <c r="A80" s="1203"/>
      <c r="B80" s="1789"/>
      <c r="C80" s="1711" t="s">
        <v>700</v>
      </c>
      <c r="D80" s="1712"/>
      <c r="E80" s="1713"/>
      <c r="F80" s="1209">
        <v>-0.25</v>
      </c>
      <c r="G80" s="1208">
        <v>-0.25</v>
      </c>
      <c r="H80" s="1208">
        <v>-0.25</v>
      </c>
      <c r="I80" s="1208">
        <v>-0.25</v>
      </c>
      <c r="J80" s="1208">
        <v>-0.25</v>
      </c>
      <c r="K80" s="1207">
        <v>-0.25</v>
      </c>
      <c r="L80"/>
      <c r="M80"/>
      <c r="N80" s="1200"/>
    </row>
    <row r="81" spans="1:14" s="1057" customFormat="1" ht="15.75" thickBot="1">
      <c r="A81" s="1203"/>
      <c r="B81" s="1210" t="s">
        <v>138</v>
      </c>
      <c r="C81" s="1737" t="s">
        <v>139</v>
      </c>
      <c r="D81" s="1738"/>
      <c r="E81" s="1739"/>
      <c r="F81" s="1209">
        <v>0</v>
      </c>
      <c r="G81" s="1208">
        <v>0</v>
      </c>
      <c r="H81" s="1208">
        <v>0</v>
      </c>
      <c r="I81" s="1208">
        <v>0</v>
      </c>
      <c r="J81" s="1208">
        <v>0</v>
      </c>
      <c r="K81" s="1207">
        <v>-0.25</v>
      </c>
      <c r="L81"/>
      <c r="M81"/>
      <c r="N81" s="1200"/>
    </row>
    <row r="82" spans="1:14" s="1057" customFormat="1">
      <c r="A82" s="1203"/>
      <c r="N82" s="1200"/>
    </row>
    <row r="83" spans="1:14" s="1057" customFormat="1">
      <c r="A83" s="1203"/>
      <c r="N83" s="1200"/>
    </row>
    <row r="84" spans="1:14" s="1057" customFormat="1">
      <c r="A84" s="1203"/>
      <c r="N84" s="1200"/>
    </row>
    <row r="85" spans="1:14" s="1057" customFormat="1">
      <c r="A85" s="1203"/>
      <c r="N85" s="1200"/>
    </row>
    <row r="86" spans="1:14" s="1057" customFormat="1">
      <c r="A86" s="1203"/>
      <c r="N86" s="1200"/>
    </row>
    <row r="87" spans="1:14" s="1057" customFormat="1">
      <c r="A87" s="1203"/>
      <c r="N87" s="1200"/>
    </row>
    <row r="88" spans="1:14" s="1057" customFormat="1">
      <c r="A88" s="1203"/>
      <c r="N88" s="1200"/>
    </row>
    <row r="89" spans="1:14" s="1057" customFormat="1">
      <c r="A89" s="1203"/>
      <c r="N89" s="1200"/>
    </row>
    <row r="90" spans="1:14" s="1057" customFormat="1">
      <c r="A90" s="1203"/>
      <c r="N90" s="1200"/>
    </row>
    <row r="91" spans="1:14" s="1057" customFormat="1" ht="15" customHeight="1">
      <c r="A91" s="1203"/>
      <c r="N91" s="1200"/>
    </row>
    <row r="92" spans="1:14" s="1057" customFormat="1" ht="15" customHeight="1">
      <c r="A92" s="1203"/>
      <c r="N92" s="1200"/>
    </row>
    <row r="93" spans="1:14" s="1057" customFormat="1" ht="15" customHeight="1">
      <c r="A93" s="1203"/>
      <c r="N93" s="1200"/>
    </row>
    <row r="94" spans="1:14" s="1057" customFormat="1" ht="15" customHeight="1">
      <c r="A94" s="1203"/>
      <c r="N94" s="1200"/>
    </row>
    <row r="95" spans="1:14" s="1057" customFormat="1" ht="15" customHeight="1">
      <c r="A95" s="1203"/>
      <c r="N95" s="1200"/>
    </row>
    <row r="96" spans="1:14" s="1057" customFormat="1">
      <c r="A96" s="1203"/>
      <c r="N96" s="1200"/>
    </row>
    <row r="97" spans="1:14" s="1057" customFormat="1">
      <c r="A97" s="1203"/>
      <c r="N97" s="1200"/>
    </row>
    <row r="98" spans="1:14" s="1057" customFormat="1">
      <c r="A98" s="1203"/>
      <c r="N98" s="1200"/>
    </row>
    <row r="99" spans="1:14" s="1057" customFormat="1">
      <c r="A99" s="1203"/>
      <c r="N99" s="1200"/>
    </row>
    <row r="100" spans="1:14" s="1057" customFormat="1">
      <c r="A100" s="1203"/>
      <c r="G100" s="1202"/>
      <c r="H100" s="1201"/>
      <c r="N100" s="1200"/>
    </row>
    <row r="101" spans="1:14" s="1057" customFormat="1">
      <c r="A101" s="1203"/>
      <c r="G101" s="1202"/>
      <c r="H101" s="1201"/>
      <c r="N101" s="1200"/>
    </row>
    <row r="102" spans="1:14" s="1057" customFormat="1">
      <c r="A102" s="1203"/>
      <c r="G102" s="1202"/>
      <c r="H102" s="1201"/>
      <c r="N102" s="1200"/>
    </row>
    <row r="103" spans="1:14" s="1057" customFormat="1">
      <c r="A103" s="1203"/>
      <c r="G103" s="1202"/>
      <c r="H103" s="1201"/>
      <c r="N103" s="1200"/>
    </row>
    <row r="104" spans="1:14" s="1057" customFormat="1">
      <c r="A104" s="1203"/>
      <c r="G104" s="1202"/>
      <c r="H104" s="1201"/>
      <c r="N104" s="1200"/>
    </row>
    <row r="105" spans="1:14" s="1057" customFormat="1">
      <c r="A105" s="1203"/>
      <c r="N105" s="1200"/>
    </row>
    <row r="106" spans="1:14" s="1057" customFormat="1">
      <c r="A106" s="1203"/>
      <c r="N106" s="1200"/>
    </row>
    <row r="107" spans="1:14" s="1057" customFormat="1">
      <c r="A107" s="1203"/>
      <c r="N107" s="1200"/>
    </row>
    <row r="108" spans="1:14" s="1057" customFormat="1">
      <c r="A108" s="1203"/>
      <c r="N108" s="1200"/>
    </row>
    <row r="109" spans="1:14" s="1057" customFormat="1">
      <c r="A109" s="1203"/>
      <c r="N109" s="1200"/>
    </row>
    <row r="110" spans="1:14" s="1057" customFormat="1">
      <c r="A110" s="1203"/>
      <c r="N110" s="1200"/>
    </row>
    <row r="111" spans="1:14" s="1057" customFormat="1">
      <c r="A111" s="1203"/>
      <c r="N111" s="1200"/>
    </row>
    <row r="112" spans="1:14" s="1057" customFormat="1" ht="15" customHeight="1" thickBot="1">
      <c r="A112" s="1270"/>
      <c r="N112" s="1070"/>
    </row>
    <row r="113" spans="1:14" s="1057" customFormat="1">
      <c r="A113" s="1066"/>
      <c r="B113" s="1816" t="s">
        <v>192</v>
      </c>
      <c r="C113" s="1816"/>
      <c r="D113" s="1816"/>
      <c r="E113" s="1816"/>
      <c r="F113" s="1816"/>
      <c r="G113" s="1816"/>
      <c r="H113" s="1816"/>
      <c r="I113" s="1816"/>
      <c r="J113" s="1816"/>
      <c r="K113" s="1816"/>
      <c r="L113" s="1816"/>
      <c r="M113" s="1816"/>
      <c r="N113" s="1064"/>
    </row>
    <row r="114" spans="1:14" s="1057" customFormat="1">
      <c r="A114" s="1063"/>
      <c r="B114" s="1817"/>
      <c r="C114" s="1817"/>
      <c r="D114" s="1817"/>
      <c r="E114" s="1817"/>
      <c r="F114" s="1817"/>
      <c r="G114" s="1817"/>
      <c r="H114" s="1817"/>
      <c r="I114" s="1817"/>
      <c r="J114" s="1817"/>
      <c r="K114" s="1817"/>
      <c r="L114" s="1817"/>
      <c r="M114" s="1817"/>
      <c r="N114" s="1061"/>
    </row>
    <row r="115" spans="1:14" s="1057" customFormat="1">
      <c r="A115" s="1063"/>
      <c r="B115" s="1817"/>
      <c r="C115" s="1817"/>
      <c r="D115" s="1817"/>
      <c r="E115" s="1817"/>
      <c r="F115" s="1817"/>
      <c r="G115" s="1817"/>
      <c r="H115" s="1817"/>
      <c r="I115" s="1817"/>
      <c r="J115" s="1817"/>
      <c r="K115" s="1817"/>
      <c r="L115" s="1817"/>
      <c r="M115" s="1817"/>
      <c r="N115" s="1061"/>
    </row>
    <row r="116" spans="1:14" ht="15.75" thickBot="1">
      <c r="A116" s="1060"/>
      <c r="B116" s="1818"/>
      <c r="C116" s="1818"/>
      <c r="D116" s="1818"/>
      <c r="E116" s="1818"/>
      <c r="F116" s="1818"/>
      <c r="G116" s="1818"/>
      <c r="H116" s="1818"/>
      <c r="I116" s="1818"/>
      <c r="J116" s="1818"/>
      <c r="K116" s="1818"/>
      <c r="L116" s="1818"/>
      <c r="M116" s="1818"/>
      <c r="N116" s="1059"/>
    </row>
  </sheetData>
  <mergeCells count="69">
    <mergeCell ref="J2:K2"/>
    <mergeCell ref="L2:M2"/>
    <mergeCell ref="K3:M3"/>
    <mergeCell ref="L4:M4"/>
    <mergeCell ref="L5:M5"/>
    <mergeCell ref="P10:R10"/>
    <mergeCell ref="C12:E12"/>
    <mergeCell ref="G14:H14"/>
    <mergeCell ref="K14:L14"/>
    <mergeCell ref="G15:H15"/>
    <mergeCell ref="K15:L15"/>
    <mergeCell ref="A10:N11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C62:E62"/>
    <mergeCell ref="C63:E63"/>
    <mergeCell ref="C55:E55"/>
    <mergeCell ref="C56:E56"/>
    <mergeCell ref="C57:E57"/>
    <mergeCell ref="C58:E58"/>
    <mergeCell ref="C59:E59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margins!$D$159:$D$161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margins!$D$110:$D$112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margins!$D$156:$D$157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margins!$D$153:$D$154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margins!$D$139:$D$145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margins!$D$136:$D$137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margins!$D$133:$D$134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margins!$D$128:$D$131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margins!$D$125:$D$126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margins!$D$118:$D$123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margins!$D$114:$D$116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margins!$D$147:$D$148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margins!$D$150:$D$151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18" zoomScaleNormal="130" workbookViewId="0">
      <selection activeCell="S18" sqref="S18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2"/>
      <c r="B2" s="1643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342"/>
      <c r="P2" s="343"/>
    </row>
    <row r="3" spans="1:16" ht="9.9499999999999993" customHeight="1">
      <c r="A3" s="1645"/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6"/>
      <c r="D6" s="1646"/>
      <c r="E6" s="1646"/>
      <c r="F6" s="1646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7"/>
      <c r="D7" s="1647"/>
      <c r="E7" s="1647"/>
      <c r="F7" s="1647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8"/>
      <c r="D8" s="1648"/>
      <c r="E8" s="1648"/>
      <c r="F8" s="1648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9" t="s">
        <v>361</v>
      </c>
      <c r="G9" s="1649"/>
      <c r="H9" s="1650">
        <v>45978</v>
      </c>
      <c r="I9" s="1650"/>
      <c r="J9" s="1650"/>
      <c r="K9" s="1650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1"/>
      <c r="D10" s="1651"/>
      <c r="E10" s="1651"/>
      <c r="F10" s="1651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2" t="s">
        <v>370</v>
      </c>
      <c r="C12" s="1652"/>
      <c r="D12" s="1652"/>
      <c r="E12" s="1652"/>
      <c r="F12" s="1652"/>
      <c r="G12" s="1652"/>
      <c r="H12" s="1652"/>
      <c r="I12" s="1652"/>
      <c r="J12" s="1652"/>
      <c r="K12" s="1652"/>
      <c r="L12" s="1652"/>
      <c r="M12" s="1652"/>
      <c r="N12" s="1652"/>
      <c r="O12" s="1652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3" t="s">
        <v>173</v>
      </c>
      <c r="C14" s="1654"/>
      <c r="D14" s="1654"/>
      <c r="E14" s="1654"/>
      <c r="F14" s="1654"/>
      <c r="G14" s="1655"/>
      <c r="H14" s="368"/>
      <c r="I14" s="1653" t="s">
        <v>174</v>
      </c>
      <c r="J14" s="1654"/>
      <c r="K14" s="1654"/>
      <c r="L14" s="1654"/>
      <c r="M14" s="1654"/>
      <c r="N14" s="1654"/>
      <c r="O14" s="1655"/>
      <c r="P14" s="369"/>
    </row>
    <row r="15" spans="1:16" ht="9.9499999999999993" customHeight="1">
      <c r="A15" s="367"/>
      <c r="B15" s="1656"/>
      <c r="C15" s="1657"/>
      <c r="D15" s="1657"/>
      <c r="E15" s="1657"/>
      <c r="F15" s="1657"/>
      <c r="G15" s="1658"/>
      <c r="H15" s="368"/>
      <c r="I15" s="1656"/>
      <c r="J15" s="1657"/>
      <c r="K15" s="1657"/>
      <c r="L15" s="1657"/>
      <c r="M15" s="1657"/>
      <c r="N15" s="1657"/>
      <c r="O15" s="1658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9" t="s">
        <v>284</v>
      </c>
      <c r="K16" s="1660"/>
      <c r="L16" s="1660"/>
      <c r="M16" s="1661"/>
      <c r="N16" s="166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60"/>
      <c r="K17" s="1660"/>
      <c r="L17" s="1660"/>
      <c r="M17" s="1661"/>
      <c r="N17" s="166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60"/>
      <c r="K18" s="1660"/>
      <c r="L18" s="1660"/>
      <c r="M18" s="1661"/>
      <c r="N18" s="1662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660"/>
      <c r="K19" s="1660"/>
      <c r="L19" s="1660"/>
      <c r="M19" s="1661"/>
      <c r="N19" s="166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60"/>
      <c r="K20" s="1660"/>
      <c r="L20" s="1660"/>
      <c r="M20" s="1661"/>
      <c r="N20" s="166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60"/>
      <c r="K21" s="1660"/>
      <c r="L21" s="1660"/>
      <c r="M21" s="1661"/>
      <c r="N21" s="166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60"/>
      <c r="K22" s="1660"/>
      <c r="L22" s="1660"/>
      <c r="M22" s="1661"/>
      <c r="N22" s="166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3"/>
      <c r="K23" s="1663"/>
      <c r="L23" s="1663"/>
      <c r="M23" s="1664"/>
      <c r="N23" s="166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3" t="s">
        <v>181</v>
      </c>
      <c r="C25" s="1654"/>
      <c r="D25" s="1654"/>
      <c r="E25" s="1654"/>
      <c r="F25" s="1654"/>
      <c r="G25" s="1655"/>
      <c r="H25" s="391"/>
      <c r="I25" s="1653" t="s">
        <v>358</v>
      </c>
      <c r="J25" s="1654"/>
      <c r="K25" s="1654"/>
      <c r="L25" s="1654"/>
      <c r="M25" s="1654"/>
      <c r="N25" s="1654"/>
      <c r="O25" s="1655"/>
      <c r="P25" s="369"/>
    </row>
    <row r="26" spans="1:17" ht="9.9499999999999993" customHeight="1">
      <c r="A26" s="367"/>
      <c r="B26" s="1656"/>
      <c r="C26" s="1657"/>
      <c r="D26" s="1657"/>
      <c r="E26" s="1657"/>
      <c r="F26" s="1657"/>
      <c r="G26" s="1658"/>
      <c r="H26" s="391"/>
      <c r="I26" s="1656"/>
      <c r="J26" s="1657"/>
      <c r="K26" s="1657"/>
      <c r="L26" s="1657"/>
      <c r="M26" s="1657"/>
      <c r="N26" s="1657"/>
      <c r="O26" s="1658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6" t="s">
        <v>364</v>
      </c>
      <c r="D28" s="1667"/>
      <c r="E28" s="1667"/>
      <c r="F28" s="1667"/>
      <c r="G28" s="393"/>
      <c r="H28" s="368"/>
      <c r="I28" s="1668" t="s">
        <v>732</v>
      </c>
      <c r="J28" s="1669"/>
      <c r="K28" s="1669"/>
      <c r="L28" s="1669"/>
      <c r="M28" s="1669"/>
      <c r="N28" s="1669"/>
      <c r="O28" s="1670"/>
      <c r="P28" s="369"/>
    </row>
    <row r="29" spans="1:17" ht="11.25" customHeight="1">
      <c r="A29" s="367"/>
      <c r="B29" s="402"/>
      <c r="C29" s="666" t="s">
        <v>351</v>
      </c>
      <c r="D29" s="396"/>
      <c r="E29" s="396"/>
      <c r="F29" s="124"/>
      <c r="G29" s="125" t="s">
        <v>182</v>
      </c>
      <c r="H29" s="368"/>
      <c r="I29" s="1668" t="s">
        <v>418</v>
      </c>
      <c r="J29" s="1669"/>
      <c r="K29" s="1669"/>
      <c r="L29" s="1669"/>
      <c r="M29" s="1669"/>
      <c r="N29" s="1669"/>
      <c r="O29" s="1670"/>
      <c r="P29" s="369"/>
      <c r="Q29" s="493"/>
    </row>
    <row r="30" spans="1:17" ht="13.5" customHeight="1">
      <c r="A30" s="367"/>
      <c r="B30" s="402"/>
      <c r="C30" s="666" t="s">
        <v>365</v>
      </c>
      <c r="D30" s="396"/>
      <c r="E30" s="396"/>
      <c r="F30" s="124"/>
      <c r="G30" s="125" t="s">
        <v>183</v>
      </c>
      <c r="H30" s="368"/>
      <c r="I30" s="419"/>
      <c r="J30" s="1671" t="s">
        <v>417</v>
      </c>
      <c r="K30" s="1671"/>
      <c r="L30" s="1671"/>
      <c r="M30" s="1671"/>
      <c r="N30" s="1671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2" t="s">
        <v>184</v>
      </c>
      <c r="F38" s="1673"/>
      <c r="G38" s="1673"/>
      <c r="H38" s="1673"/>
      <c r="I38" s="1673"/>
      <c r="J38" s="1673"/>
      <c r="K38" s="1673"/>
      <c r="L38" s="1673"/>
      <c r="O38" s="380"/>
      <c r="P38" s="369"/>
    </row>
    <row r="39" spans="1:16" ht="9.9499999999999993" customHeight="1">
      <c r="A39" s="367"/>
      <c r="B39" s="402"/>
      <c r="C39" s="439"/>
      <c r="D39" s="125"/>
      <c r="E39" s="1672"/>
      <c r="F39" s="1673"/>
      <c r="G39" s="1673"/>
      <c r="H39" s="1673"/>
      <c r="I39" s="1673"/>
      <c r="J39" s="1673"/>
      <c r="K39" s="1673"/>
      <c r="L39" s="1673"/>
      <c r="O39" s="380"/>
      <c r="P39" s="369"/>
    </row>
    <row r="40" spans="1:16" ht="9.9499999999999993" customHeight="1">
      <c r="A40" s="367"/>
      <c r="B40" s="402"/>
      <c r="C40" s="428"/>
      <c r="D40" s="125"/>
      <c r="E40" s="1674" t="s">
        <v>360</v>
      </c>
      <c r="F40" s="1675"/>
      <c r="G40" s="1675"/>
      <c r="H40" s="1675"/>
      <c r="I40" s="1675"/>
      <c r="J40" s="1675"/>
      <c r="K40" s="1675"/>
      <c r="L40" s="1676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9" t="s">
        <v>31</v>
      </c>
      <c r="F46" s="1690"/>
      <c r="G46" s="1690"/>
      <c r="H46" s="1690"/>
      <c r="I46" s="1690"/>
      <c r="J46" s="1690"/>
      <c r="K46" s="1690"/>
      <c r="L46" s="1691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2" t="s">
        <v>186</v>
      </c>
      <c r="C48" s="1693"/>
      <c r="D48" s="1693"/>
      <c r="E48" s="1693"/>
      <c r="F48" s="1693"/>
      <c r="G48" s="1693"/>
      <c r="H48" s="1693"/>
      <c r="I48" s="1693"/>
      <c r="J48" s="1693"/>
      <c r="K48" s="1693"/>
      <c r="L48" s="1693"/>
      <c r="M48" s="1693"/>
      <c r="N48" s="1693"/>
      <c r="O48" s="1694"/>
      <c r="P48" s="369"/>
    </row>
    <row r="49" spans="1:16" ht="9.9499999999999993" customHeight="1">
      <c r="A49" s="367"/>
      <c r="B49" s="1672"/>
      <c r="C49" s="1673"/>
      <c r="D49" s="1673"/>
      <c r="E49" s="1673"/>
      <c r="F49" s="1673"/>
      <c r="G49" s="1673"/>
      <c r="H49" s="1673"/>
      <c r="I49" s="1673"/>
      <c r="J49" s="1673"/>
      <c r="K49" s="1673"/>
      <c r="L49" s="1673"/>
      <c r="M49" s="1673"/>
      <c r="N49" s="1673"/>
      <c r="O49" s="1695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382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1"/>
      <c r="G55" s="1681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2"/>
      <c r="C57" s="1696"/>
      <c r="D57" s="1696"/>
      <c r="E57" s="1696"/>
      <c r="F57" s="1696"/>
      <c r="G57" s="1696"/>
      <c r="H57" s="1696"/>
      <c r="I57" s="1696"/>
      <c r="J57" s="1696"/>
      <c r="K57" s="1696"/>
      <c r="L57" s="1696"/>
      <c r="M57" s="1696"/>
      <c r="N57" s="1696"/>
      <c r="O57" s="1697"/>
      <c r="P57" s="395"/>
    </row>
    <row r="58" spans="1:16" ht="9.9499999999999993" customHeight="1">
      <c r="A58" s="394"/>
      <c r="B58" s="1698"/>
      <c r="C58" s="1699"/>
      <c r="D58" s="1699"/>
      <c r="E58" s="1699"/>
      <c r="F58" s="1699"/>
      <c r="G58" s="1699"/>
      <c r="H58" s="1699"/>
      <c r="I58" s="1699"/>
      <c r="J58" s="1699"/>
      <c r="K58" s="1699"/>
      <c r="L58" s="1699"/>
      <c r="M58" s="1699"/>
      <c r="N58" s="1699"/>
      <c r="O58" s="1700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0"/>
      <c r="D61" s="1820"/>
      <c r="E61" s="1820"/>
      <c r="F61" s="1820"/>
      <c r="G61" s="1820"/>
      <c r="H61" s="1820"/>
      <c r="I61" s="1820"/>
      <c r="J61" s="1820"/>
      <c r="K61" s="1820"/>
      <c r="L61" s="1820"/>
      <c r="M61" s="1820"/>
      <c r="N61" s="1820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2" t="s">
        <v>189</v>
      </c>
      <c r="C72" s="1703"/>
      <c r="D72" s="1703"/>
      <c r="E72" s="1703"/>
      <c r="F72" s="1703"/>
      <c r="G72" s="1703"/>
      <c r="H72" s="1703"/>
      <c r="I72" s="1703"/>
      <c r="J72" s="1703"/>
      <c r="K72" s="1703"/>
      <c r="L72" s="1703"/>
      <c r="M72" s="1703"/>
      <c r="N72" s="1703"/>
      <c r="O72" s="1704"/>
    </row>
    <row r="73" spans="1:16">
      <c r="B73" s="1705"/>
      <c r="C73" s="1706"/>
      <c r="D73" s="1706"/>
      <c r="E73" s="1706"/>
      <c r="F73" s="1706"/>
      <c r="G73" s="1706"/>
      <c r="H73" s="1706"/>
      <c r="I73" s="1706"/>
      <c r="J73" s="1706"/>
      <c r="K73" s="1706"/>
      <c r="L73" s="1706"/>
      <c r="M73" s="1706"/>
      <c r="N73" s="1706"/>
      <c r="O73" s="1707"/>
    </row>
    <row r="74" spans="1:16">
      <c r="B74" s="1677" t="s">
        <v>190</v>
      </c>
      <c r="C74" s="1678"/>
      <c r="D74" s="1678"/>
      <c r="E74" s="1678"/>
      <c r="F74" s="1678"/>
      <c r="G74" s="1678"/>
      <c r="H74" s="1678"/>
      <c r="I74" s="1678"/>
      <c r="J74" s="1678"/>
      <c r="K74" s="1678"/>
      <c r="L74" s="1678"/>
      <c r="M74" s="1678"/>
      <c r="N74" s="1678"/>
      <c r="O74" s="1679"/>
    </row>
    <row r="75" spans="1:16" ht="9.9499999999999993" customHeight="1">
      <c r="B75" s="1680" t="s">
        <v>191</v>
      </c>
      <c r="C75" s="1681"/>
      <c r="D75" s="1681"/>
      <c r="E75" s="1681"/>
      <c r="F75" s="1681"/>
      <c r="G75" s="1681"/>
      <c r="H75" s="1681"/>
      <c r="I75" s="1681"/>
      <c r="J75" s="1681"/>
      <c r="K75" s="1681"/>
      <c r="L75" s="1681"/>
      <c r="M75" s="1681"/>
      <c r="N75" s="1681"/>
      <c r="O75" s="1682"/>
    </row>
    <row r="76" spans="1:16" ht="13.5" customHeight="1">
      <c r="B76" s="1683" t="s">
        <v>192</v>
      </c>
      <c r="C76" s="1684"/>
      <c r="D76" s="1684"/>
      <c r="E76" s="1684"/>
      <c r="F76" s="1684"/>
      <c r="G76" s="1684"/>
      <c r="H76" s="1684"/>
      <c r="I76" s="1684"/>
      <c r="J76" s="1684"/>
      <c r="K76" s="1684"/>
      <c r="L76" s="1684"/>
      <c r="M76" s="1684"/>
      <c r="N76" s="1684"/>
      <c r="O76" s="1685"/>
    </row>
    <row r="77" spans="1:16">
      <c r="B77" s="1686"/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8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0"/>
  <sheetViews>
    <sheetView showGridLines="0" topLeftCell="A12" workbookViewId="0">
      <selection activeCell="S18" sqref="S18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0" bestFit="1" customWidth="1"/>
  </cols>
  <sheetData>
    <row r="1" spans="1:14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26.25">
      <c r="A2" s="40"/>
      <c r="B2" s="41"/>
      <c r="C2" s="1824" t="s">
        <v>283</v>
      </c>
      <c r="D2" s="1824"/>
      <c r="E2" s="1824"/>
      <c r="F2" s="1824"/>
      <c r="G2" s="1824"/>
      <c r="H2" s="1824"/>
      <c r="I2" s="1825"/>
      <c r="J2" s="100"/>
      <c r="K2" s="1387"/>
    </row>
    <row r="3" spans="1:14" ht="31.5" thickBot="1">
      <c r="A3" s="42"/>
      <c r="B3" s="43"/>
      <c r="C3" s="44"/>
      <c r="D3" s="45"/>
      <c r="E3" s="45"/>
      <c r="F3" s="45"/>
      <c r="G3" s="45"/>
      <c r="H3" s="45"/>
      <c r="I3" s="46"/>
      <c r="J3" s="682"/>
      <c r="K3" s="1388"/>
    </row>
    <row r="4" spans="1:14" ht="30.75">
      <c r="A4" s="47"/>
      <c r="B4" s="47"/>
      <c r="C4" s="47"/>
      <c r="D4" s="48"/>
      <c r="E4" s="48"/>
      <c r="F4" s="48"/>
      <c r="G4" s="48"/>
      <c r="H4" s="48"/>
      <c r="I4" s="49"/>
      <c r="J4" s="74"/>
      <c r="K4" s="74"/>
    </row>
    <row r="5" spans="1:14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4" ht="15.75" thickBot="1"/>
    <row r="7" spans="1:14" ht="15.75" thickBot="1">
      <c r="A7" s="1826" t="s">
        <v>147</v>
      </c>
      <c r="B7" s="1827"/>
      <c r="C7" s="1827"/>
      <c r="D7" s="1828"/>
      <c r="E7" s="75"/>
      <c r="G7" s="1829" t="s">
        <v>2</v>
      </c>
      <c r="H7" s="1830"/>
      <c r="L7" s="657" t="s">
        <v>348</v>
      </c>
      <c r="M7" s="657"/>
      <c r="N7" s="1577">
        <v>45978.399699074071</v>
      </c>
    </row>
    <row r="8" spans="1:14" ht="15.75" thickBot="1">
      <c r="G8" s="76" t="s">
        <v>8</v>
      </c>
      <c r="H8" s="17">
        <v>0</v>
      </c>
      <c r="L8" s="471"/>
      <c r="M8" s="471"/>
      <c r="N8" s="471"/>
    </row>
    <row r="9" spans="1:14" ht="15.75" thickBot="1">
      <c r="A9" s="51" t="s">
        <v>3</v>
      </c>
      <c r="B9" s="52" t="s">
        <v>13</v>
      </c>
      <c r="C9" s="52" t="s">
        <v>88</v>
      </c>
      <c r="D9" s="53" t="s">
        <v>93</v>
      </c>
      <c r="E9" s="54"/>
      <c r="G9" s="712" t="s">
        <v>10</v>
      </c>
      <c r="H9" s="713">
        <v>-0.375</v>
      </c>
      <c r="L9" s="494" t="s">
        <v>207</v>
      </c>
      <c r="M9" s="495" t="s">
        <v>208</v>
      </c>
      <c r="N9" s="495" t="s">
        <v>209</v>
      </c>
    </row>
    <row r="10" spans="1:14" ht="15.75" thickBot="1">
      <c r="A10" s="113">
        <f>margins!AR2</f>
        <v>8.25</v>
      </c>
      <c r="B10" s="103">
        <v>99.225000000000009</v>
      </c>
      <c r="C10" s="103">
        <v>98.675000000000011</v>
      </c>
      <c r="D10" s="114">
        <v>98.175000000000011</v>
      </c>
      <c r="E10" s="58"/>
      <c r="G10" s="716"/>
      <c r="H10" s="717"/>
      <c r="L10" s="471"/>
      <c r="M10" s="471"/>
      <c r="N10" s="471"/>
    </row>
    <row r="11" spans="1:14">
      <c r="A11" s="115">
        <f>margins!AR3</f>
        <v>8.375</v>
      </c>
      <c r="B11" s="104">
        <v>99.888000000000005</v>
      </c>
      <c r="C11" s="104">
        <v>99.338000000000008</v>
      </c>
      <c r="D11" s="116">
        <v>98.838000000000008</v>
      </c>
      <c r="E11" s="58"/>
      <c r="G11" s="714" t="s">
        <v>97</v>
      </c>
      <c r="H11" s="715" t="s">
        <v>6</v>
      </c>
      <c r="L11" s="658" t="s">
        <v>210</v>
      </c>
      <c r="M11" s="659" t="s">
        <v>93</v>
      </c>
      <c r="N11" s="488"/>
    </row>
    <row r="12" spans="1:14">
      <c r="A12" s="113">
        <f>margins!AR4</f>
        <v>8.5</v>
      </c>
      <c r="B12" s="103">
        <v>100.65</v>
      </c>
      <c r="C12" s="103">
        <v>100.10000000000001</v>
      </c>
      <c r="D12" s="114">
        <v>99.600000000000009</v>
      </c>
      <c r="E12" s="58"/>
      <c r="G12" s="59" t="s">
        <v>99</v>
      </c>
      <c r="H12" s="120">
        <v>101</v>
      </c>
      <c r="L12" s="660" t="s">
        <v>211</v>
      </c>
      <c r="M12" s="661">
        <v>9</v>
      </c>
      <c r="N12" s="489">
        <f>IF(M11="7/6 Arm",VLOOKUP(M12,$A$10:$D$38,2,FALSE),IF(M11="10/6 Arm",VLOOKUP(M12,$A$10:$D$38,3,FALSE),VLOOKUP(M12,$A$10:$D$38,4,FALSE)))</f>
        <v>101.738</v>
      </c>
    </row>
    <row r="13" spans="1:14">
      <c r="A13" s="115">
        <f>margins!AR5</f>
        <v>8.625</v>
      </c>
      <c r="B13" s="104">
        <v>101.313</v>
      </c>
      <c r="C13" s="104">
        <v>100.76300000000001</v>
      </c>
      <c r="D13" s="116">
        <v>100.26300000000001</v>
      </c>
      <c r="E13" s="58"/>
      <c r="G13" s="59" t="s">
        <v>100</v>
      </c>
      <c r="H13" s="120">
        <v>101</v>
      </c>
      <c r="L13" s="660" t="s">
        <v>386</v>
      </c>
      <c r="M13" s="661" t="s">
        <v>19</v>
      </c>
      <c r="N13" s="489"/>
    </row>
    <row r="14" spans="1:14">
      <c r="A14" s="113">
        <f>margins!AR6</f>
        <v>8.75</v>
      </c>
      <c r="B14" s="103">
        <v>102.21300000000001</v>
      </c>
      <c r="C14" s="103">
        <v>101.66300000000001</v>
      </c>
      <c r="D14" s="114">
        <v>101.16300000000001</v>
      </c>
      <c r="E14" s="58"/>
      <c r="G14" s="59" t="s">
        <v>7</v>
      </c>
      <c r="H14" s="120">
        <v>101</v>
      </c>
      <c r="L14" s="660" t="s">
        <v>212</v>
      </c>
      <c r="M14" s="661" t="s">
        <v>26</v>
      </c>
      <c r="N14" s="489">
        <f>IFERROR(INDEX($C$42:$H$47,MATCH(M14,B42:B47,0),MATCH(M13,C41:H41,0),1),0)</f>
        <v>-1</v>
      </c>
    </row>
    <row r="15" spans="1:14">
      <c r="A15" s="115">
        <f>margins!AR7</f>
        <v>8.875</v>
      </c>
      <c r="B15" s="104">
        <v>102.5</v>
      </c>
      <c r="C15" s="104">
        <v>101.95</v>
      </c>
      <c r="D15" s="116">
        <v>101.45</v>
      </c>
      <c r="E15" s="58"/>
      <c r="G15" s="59" t="s">
        <v>9</v>
      </c>
      <c r="H15" s="120">
        <v>101</v>
      </c>
      <c r="L15" s="660" t="s">
        <v>72</v>
      </c>
      <c r="M15" s="661" t="s">
        <v>203</v>
      </c>
      <c r="N15" s="489">
        <f t="shared" ref="N15:N23" si="0">IFERROR(INDEX($C$51:$H$70,MATCH(M15,$B$51:$B$70,0),MATCH($M$13,$C$41:$H$41,0),1),0)</f>
        <v>0</v>
      </c>
    </row>
    <row r="16" spans="1:14">
      <c r="A16" s="113">
        <f>margins!AR8</f>
        <v>9</v>
      </c>
      <c r="B16" s="103">
        <v>102.78800000000001</v>
      </c>
      <c r="C16" s="103">
        <v>102.238</v>
      </c>
      <c r="D16" s="114">
        <v>101.738</v>
      </c>
      <c r="E16" s="58"/>
      <c r="G16" s="59" t="s">
        <v>11</v>
      </c>
      <c r="H16" s="120">
        <f>margins!BH7</f>
        <v>99.275000000000006</v>
      </c>
      <c r="L16" s="660" t="s">
        <v>213</v>
      </c>
      <c r="M16" s="661" t="s">
        <v>203</v>
      </c>
      <c r="N16" s="489">
        <f t="shared" si="0"/>
        <v>0</v>
      </c>
    </row>
    <row r="17" spans="1:14" ht="15.75" thickBot="1">
      <c r="A17" s="115">
        <f>margins!AR9</f>
        <v>9.125</v>
      </c>
      <c r="B17" s="104">
        <v>103.375</v>
      </c>
      <c r="C17" s="104">
        <v>102.825</v>
      </c>
      <c r="D17" s="116">
        <v>102.325</v>
      </c>
      <c r="E17" s="58"/>
      <c r="G17" s="62" t="s">
        <v>101</v>
      </c>
      <c r="H17" s="121">
        <f>margins!BH8</f>
        <v>98.275000000000006</v>
      </c>
      <c r="L17" s="660" t="s">
        <v>47</v>
      </c>
      <c r="M17" s="661" t="s">
        <v>203</v>
      </c>
      <c r="N17" s="489">
        <f t="shared" si="0"/>
        <v>0</v>
      </c>
    </row>
    <row r="18" spans="1:14">
      <c r="A18" s="113">
        <f>margins!AR10</f>
        <v>9.25</v>
      </c>
      <c r="B18" s="103">
        <v>103.96300000000001</v>
      </c>
      <c r="C18" s="103">
        <v>103.41300000000001</v>
      </c>
      <c r="D18" s="114">
        <v>102.91300000000001</v>
      </c>
      <c r="E18" s="58"/>
      <c r="G18" s="22" t="s">
        <v>148</v>
      </c>
      <c r="H18" s="1"/>
      <c r="I18" s="1"/>
      <c r="J18" s="1"/>
      <c r="K18" s="1"/>
      <c r="L18" s="660" t="s">
        <v>56</v>
      </c>
      <c r="M18" s="661" t="s">
        <v>203</v>
      </c>
      <c r="N18" s="489">
        <f t="shared" si="0"/>
        <v>0</v>
      </c>
    </row>
    <row r="19" spans="1:14">
      <c r="A19" s="115">
        <f>margins!AR11</f>
        <v>9.375</v>
      </c>
      <c r="B19" s="104">
        <v>104.488</v>
      </c>
      <c r="C19" s="104">
        <v>103.938</v>
      </c>
      <c r="D19" s="116">
        <v>103.438</v>
      </c>
      <c r="E19" s="58"/>
      <c r="G19" s="22" t="s">
        <v>149</v>
      </c>
      <c r="H19" s="1"/>
      <c r="I19" s="1"/>
      <c r="J19" s="1"/>
      <c r="K19" s="1"/>
      <c r="L19" s="660" t="s">
        <v>62</v>
      </c>
      <c r="M19" s="661" t="s">
        <v>203</v>
      </c>
      <c r="N19" s="489">
        <f t="shared" si="0"/>
        <v>0</v>
      </c>
    </row>
    <row r="20" spans="1:14">
      <c r="A20" s="113">
        <f>margins!AR12</f>
        <v>9.5</v>
      </c>
      <c r="B20" s="103">
        <v>105.01300000000001</v>
      </c>
      <c r="C20" s="103">
        <v>104.46300000000001</v>
      </c>
      <c r="D20" s="114">
        <v>103.96300000000001</v>
      </c>
      <c r="E20" s="58"/>
      <c r="G20" s="22" t="s">
        <v>704</v>
      </c>
      <c r="H20" s="1"/>
      <c r="I20" s="1"/>
      <c r="J20" s="1"/>
      <c r="K20" s="1"/>
      <c r="L20" s="660" t="s">
        <v>141</v>
      </c>
      <c r="M20" s="661" t="s">
        <v>203</v>
      </c>
      <c r="N20" s="489">
        <f t="shared" si="0"/>
        <v>0</v>
      </c>
    </row>
    <row r="21" spans="1:14">
      <c r="A21" s="115">
        <f>margins!AR13</f>
        <v>9.625</v>
      </c>
      <c r="B21" s="104">
        <v>105.53800000000001</v>
      </c>
      <c r="C21" s="104">
        <v>104.988</v>
      </c>
      <c r="D21" s="116">
        <v>104.488</v>
      </c>
      <c r="E21" s="58"/>
      <c r="G21" s="22" t="s">
        <v>151</v>
      </c>
      <c r="H21" s="1"/>
      <c r="I21" s="1"/>
      <c r="J21" s="1"/>
      <c r="K21" s="1"/>
      <c r="L21" s="660" t="s">
        <v>215</v>
      </c>
      <c r="M21" s="661" t="s">
        <v>99</v>
      </c>
      <c r="N21" s="489">
        <f t="shared" si="0"/>
        <v>1</v>
      </c>
    </row>
    <row r="22" spans="1:14">
      <c r="A22" s="113">
        <f>margins!AR14</f>
        <v>9.75</v>
      </c>
      <c r="B22" s="103">
        <v>106.063</v>
      </c>
      <c r="C22" s="103">
        <v>105.51300000000001</v>
      </c>
      <c r="D22" s="114">
        <v>105.01300000000001</v>
      </c>
      <c r="E22" s="58"/>
      <c r="G22" s="22" t="s">
        <v>605</v>
      </c>
      <c r="H22" s="1"/>
      <c r="I22" s="1"/>
      <c r="J22" s="1"/>
      <c r="K22" s="1"/>
      <c r="L22" s="660" t="s">
        <v>69</v>
      </c>
      <c r="M22" s="661" t="s">
        <v>203</v>
      </c>
      <c r="N22" s="489">
        <f t="shared" si="0"/>
        <v>0</v>
      </c>
    </row>
    <row r="23" spans="1:14">
      <c r="A23" s="115">
        <f>margins!AR15</f>
        <v>9.875</v>
      </c>
      <c r="B23" s="104">
        <v>106.58800000000001</v>
      </c>
      <c r="C23" s="104">
        <v>106.03800000000001</v>
      </c>
      <c r="D23" s="116">
        <v>105.53800000000001</v>
      </c>
      <c r="E23" s="58"/>
      <c r="G23" s="22" t="s">
        <v>238</v>
      </c>
      <c r="H23" s="1"/>
      <c r="I23" s="1"/>
      <c r="J23" s="1"/>
      <c r="K23" s="1"/>
      <c r="L23" s="660" t="s">
        <v>172</v>
      </c>
      <c r="M23" s="661" t="s">
        <v>203</v>
      </c>
      <c r="N23" s="489">
        <f t="shared" si="0"/>
        <v>0</v>
      </c>
    </row>
    <row r="24" spans="1:14" ht="15.75" thickBot="1">
      <c r="A24" s="113">
        <f>margins!AR16</f>
        <v>10</v>
      </c>
      <c r="B24" s="103">
        <v>107.113</v>
      </c>
      <c r="C24" s="103">
        <v>106.563</v>
      </c>
      <c r="D24" s="114">
        <v>106.063</v>
      </c>
      <c r="E24" s="58"/>
      <c r="J24" s="1"/>
      <c r="K24" s="1"/>
      <c r="L24" s="660" t="s">
        <v>217</v>
      </c>
      <c r="M24" s="661">
        <v>15</v>
      </c>
      <c r="N24" s="489">
        <f>IF(M24=15,0,H9)</f>
        <v>0</v>
      </c>
    </row>
    <row r="25" spans="1:14" ht="15.75" thickBot="1">
      <c r="A25" s="115">
        <f>margins!AR17</f>
        <v>10.125</v>
      </c>
      <c r="B25" s="104">
        <v>107.63800000000001</v>
      </c>
      <c r="C25" s="104">
        <v>107.08800000000001</v>
      </c>
      <c r="D25" s="116">
        <v>106.58800000000001</v>
      </c>
      <c r="E25" s="58"/>
      <c r="G25" s="1831" t="s">
        <v>153</v>
      </c>
      <c r="H25" s="1832"/>
      <c r="I25" s="1833"/>
      <c r="J25" s="1"/>
      <c r="K25" s="1"/>
      <c r="L25" s="662" t="s">
        <v>218</v>
      </c>
      <c r="M25" s="486"/>
      <c r="N25" s="490">
        <f>N14+N16+N17+N18+N19+N20+N21+N22+N23+N24</f>
        <v>0</v>
      </c>
    </row>
    <row r="26" spans="1:14" ht="15.75" thickBot="1">
      <c r="A26" s="113">
        <f>margins!AR18</f>
        <v>10.25</v>
      </c>
      <c r="B26" s="103">
        <v>108.16300000000001</v>
      </c>
      <c r="C26" s="103">
        <v>107.613</v>
      </c>
      <c r="D26" s="114">
        <v>107.113</v>
      </c>
      <c r="E26" s="58"/>
      <c r="G26" s="77" t="s">
        <v>154</v>
      </c>
      <c r="H26" s="1362" t="s">
        <v>155</v>
      </c>
      <c r="I26" s="83"/>
      <c r="J26" s="1"/>
      <c r="K26" s="1"/>
      <c r="L26" s="473"/>
      <c r="M26" s="474"/>
      <c r="N26" s="483"/>
    </row>
    <row r="27" spans="1:14" ht="15.75" thickBot="1">
      <c r="A27" s="115">
        <f>margins!AR19</f>
        <v>10.375</v>
      </c>
      <c r="B27" s="104">
        <v>108.688</v>
      </c>
      <c r="C27" s="104">
        <v>108.13800000000001</v>
      </c>
      <c r="D27" s="116">
        <v>107.63800000000001</v>
      </c>
      <c r="E27" s="58"/>
      <c r="G27" s="77" t="s">
        <v>156</v>
      </c>
      <c r="H27" s="1357" t="s">
        <v>687</v>
      </c>
      <c r="I27" s="83"/>
      <c r="J27" s="1"/>
      <c r="K27" s="1"/>
      <c r="L27" s="475" t="s">
        <v>219</v>
      </c>
      <c r="M27" s="476"/>
      <c r="N27" s="491">
        <f>IF(ISNUMBER(MATCH("NA", N14:N24, 0)), "NA", MIN(N25+N12,VLOOKUP($M$21,$G$12:$H$17,2,FALSE)))</f>
        <v>101</v>
      </c>
    </row>
    <row r="28" spans="1:14" ht="15.75" thickBot="1">
      <c r="A28" s="113">
        <f>margins!AR20</f>
        <v>10.5</v>
      </c>
      <c r="B28" s="103">
        <v>109.21300000000001</v>
      </c>
      <c r="C28" s="103">
        <v>108.66300000000001</v>
      </c>
      <c r="D28" s="114">
        <v>108.16300000000001</v>
      </c>
      <c r="E28" s="58"/>
      <c r="G28" s="77" t="s">
        <v>157</v>
      </c>
      <c r="H28" s="1357" t="s">
        <v>158</v>
      </c>
      <c r="I28" s="83"/>
      <c r="J28" s="1"/>
      <c r="K28" s="1"/>
      <c r="L28" s="470"/>
      <c r="M28" s="470"/>
      <c r="N28" s="470"/>
    </row>
    <row r="29" spans="1:14" ht="15.75" thickBot="1">
      <c r="A29" s="115">
        <f>margins!AR21</f>
        <v>10.625</v>
      </c>
      <c r="B29" s="104">
        <v>109.738</v>
      </c>
      <c r="C29" s="104">
        <v>109.188</v>
      </c>
      <c r="D29" s="116">
        <v>108.688</v>
      </c>
      <c r="E29" s="58"/>
      <c r="G29" s="77" t="s">
        <v>159</v>
      </c>
      <c r="H29" s="1357" t="s">
        <v>160</v>
      </c>
      <c r="I29" s="83"/>
      <c r="J29" s="1"/>
      <c r="K29" s="1"/>
      <c r="L29" s="846" t="s">
        <v>483</v>
      </c>
      <c r="M29" s="844"/>
      <c r="N29" s="845"/>
    </row>
    <row r="30" spans="1:14">
      <c r="A30" s="113">
        <f>margins!AR22</f>
        <v>10.75</v>
      </c>
      <c r="B30" s="103">
        <v>110.2</v>
      </c>
      <c r="C30" s="103">
        <v>109.65</v>
      </c>
      <c r="D30" s="114">
        <v>109.15</v>
      </c>
      <c r="E30" s="58"/>
      <c r="G30" s="77" t="s">
        <v>161</v>
      </c>
      <c r="H30" s="1357" t="s">
        <v>162</v>
      </c>
      <c r="I30" s="83"/>
      <c r="J30" s="1"/>
      <c r="K30" s="1"/>
    </row>
    <row r="31" spans="1:14" ht="15.75" thickBot="1">
      <c r="A31" s="115">
        <f>margins!AR23</f>
        <v>10.875</v>
      </c>
      <c r="B31" s="104">
        <v>110.60000000000001</v>
      </c>
      <c r="C31" s="104">
        <v>110.05000000000001</v>
      </c>
      <c r="D31" s="116">
        <v>109.55000000000001</v>
      </c>
      <c r="E31" s="58"/>
      <c r="G31" s="78" t="s">
        <v>163</v>
      </c>
      <c r="H31" s="1358" t="s">
        <v>164</v>
      </c>
      <c r="I31" s="1359"/>
      <c r="J31" s="1"/>
      <c r="K31" s="1"/>
    </row>
    <row r="32" spans="1:14">
      <c r="A32" s="113">
        <f>margins!AR24</f>
        <v>11</v>
      </c>
      <c r="B32" s="103">
        <v>111</v>
      </c>
      <c r="C32" s="103">
        <v>110.45</v>
      </c>
      <c r="D32" s="114">
        <v>109.95</v>
      </c>
      <c r="E32" s="58"/>
      <c r="J32" s="1"/>
      <c r="K32" s="1"/>
    </row>
    <row r="33" spans="1:11" ht="15.75" thickBot="1">
      <c r="A33" s="115">
        <f>margins!AR25</f>
        <v>11.125</v>
      </c>
      <c r="B33" s="104">
        <v>111.4</v>
      </c>
      <c r="C33" s="104">
        <v>110.85000000000001</v>
      </c>
      <c r="D33" s="116">
        <v>110.35000000000001</v>
      </c>
      <c r="E33" s="58"/>
      <c r="G33" s="1"/>
      <c r="H33" s="1"/>
      <c r="I33" s="1"/>
      <c r="J33" s="1"/>
      <c r="K33" s="1"/>
    </row>
    <row r="34" spans="1:11">
      <c r="A34" s="113">
        <f>margins!AR26</f>
        <v>11.25</v>
      </c>
      <c r="B34" s="103">
        <v>111.80000000000001</v>
      </c>
      <c r="C34" s="103">
        <v>111.25</v>
      </c>
      <c r="D34" s="114">
        <v>110.75</v>
      </c>
      <c r="E34" s="58"/>
      <c r="G34" s="1355" t="s">
        <v>104</v>
      </c>
      <c r="H34" s="1356"/>
      <c r="I34" s="1"/>
      <c r="J34" s="1"/>
      <c r="K34" s="1"/>
    </row>
    <row r="35" spans="1:11">
      <c r="A35" s="115">
        <f>margins!AR27</f>
        <v>11.375</v>
      </c>
      <c r="B35" s="104">
        <v>112.2</v>
      </c>
      <c r="C35" s="104">
        <v>111.65</v>
      </c>
      <c r="D35" s="116">
        <v>111.15</v>
      </c>
      <c r="E35" s="58"/>
      <c r="G35" s="79" t="s">
        <v>105</v>
      </c>
      <c r="H35" s="80" t="s">
        <v>106</v>
      </c>
      <c r="I35" s="1"/>
      <c r="J35" s="1"/>
      <c r="K35" s="1"/>
    </row>
    <row r="36" spans="1:11">
      <c r="A36" s="113">
        <f>margins!AR28</f>
        <v>11.5</v>
      </c>
      <c r="B36" s="103">
        <v>112.60000000000001</v>
      </c>
      <c r="C36" s="103">
        <v>112.05000000000001</v>
      </c>
      <c r="D36" s="114">
        <v>111.55000000000001</v>
      </c>
      <c r="E36" s="58"/>
      <c r="G36" s="79" t="s">
        <v>107</v>
      </c>
      <c r="H36" s="81">
        <v>6.5000000000000002E-2</v>
      </c>
      <c r="I36" s="1"/>
      <c r="J36" s="1"/>
      <c r="K36" s="1"/>
    </row>
    <row r="37" spans="1:11">
      <c r="A37" s="115">
        <f>margins!AR29</f>
        <v>11.625</v>
      </c>
      <c r="B37" s="104">
        <v>113</v>
      </c>
      <c r="C37" s="104">
        <v>112.45</v>
      </c>
      <c r="D37" s="116">
        <v>111.95</v>
      </c>
      <c r="E37" s="58"/>
      <c r="G37" s="82" t="s">
        <v>165</v>
      </c>
      <c r="H37" s="83" t="s">
        <v>166</v>
      </c>
      <c r="I37" s="1"/>
      <c r="J37" s="1"/>
      <c r="K37" s="1"/>
    </row>
    <row r="38" spans="1:11" ht="15.75" thickBot="1">
      <c r="A38" s="117"/>
      <c r="B38" s="118"/>
      <c r="C38" s="118"/>
      <c r="D38" s="119"/>
      <c r="E38" s="58"/>
      <c r="G38" s="84" t="s">
        <v>109</v>
      </c>
      <c r="H38" s="85" t="s">
        <v>110</v>
      </c>
      <c r="I38" s="1"/>
      <c r="J38" s="1"/>
      <c r="K38" s="1"/>
    </row>
    <row r="40" spans="1:11">
      <c r="A40" s="3" t="s">
        <v>458</v>
      </c>
      <c r="B40" s="3"/>
      <c r="C40" s="1"/>
      <c r="D40" s="1"/>
      <c r="E40" s="1"/>
      <c r="F40" s="20"/>
      <c r="G40" s="1"/>
      <c r="H40" s="21"/>
      <c r="I40" s="20"/>
    </row>
    <row r="41" spans="1:11">
      <c r="A41" s="1821" t="s">
        <v>167</v>
      </c>
      <c r="B41" s="86"/>
      <c r="C41" s="86" t="s">
        <v>15</v>
      </c>
      <c r="D41" s="86" t="s">
        <v>16</v>
      </c>
      <c r="E41" s="86" t="s">
        <v>17</v>
      </c>
      <c r="F41" s="86" t="s">
        <v>18</v>
      </c>
      <c r="G41" s="86" t="s">
        <v>19</v>
      </c>
      <c r="H41" s="86" t="s">
        <v>20</v>
      </c>
      <c r="I41" s="87"/>
    </row>
    <row r="42" spans="1:11">
      <c r="A42" s="1822"/>
      <c r="B42" s="88" t="s">
        <v>116</v>
      </c>
      <c r="C42" s="108">
        <v>1.25</v>
      </c>
      <c r="D42" s="108">
        <v>1</v>
      </c>
      <c r="E42" s="108">
        <v>0.75</v>
      </c>
      <c r="F42" s="108">
        <v>0.375</v>
      </c>
      <c r="G42" s="108">
        <v>0.12500000000000003</v>
      </c>
      <c r="H42" s="108">
        <v>-0.24999999999999997</v>
      </c>
      <c r="I42" s="89"/>
    </row>
    <row r="43" spans="1:11">
      <c r="A43" s="1822"/>
      <c r="B43" s="88" t="s">
        <v>24</v>
      </c>
      <c r="C43" s="108">
        <v>1.125</v>
      </c>
      <c r="D43" s="108">
        <v>0.875</v>
      </c>
      <c r="E43" s="108">
        <v>0.49999999999999989</v>
      </c>
      <c r="F43" s="108">
        <v>0.24999999999999989</v>
      </c>
      <c r="G43" s="108">
        <v>-0.12500000000000011</v>
      </c>
      <c r="H43" s="108">
        <v>-0.625</v>
      </c>
      <c r="I43" s="89"/>
    </row>
    <row r="44" spans="1:11">
      <c r="A44" s="1822"/>
      <c r="B44" s="88" t="s">
        <v>25</v>
      </c>
      <c r="C44" s="108">
        <v>0.625</v>
      </c>
      <c r="D44" s="108">
        <v>0.375</v>
      </c>
      <c r="E44" s="108">
        <v>0.24999999999999986</v>
      </c>
      <c r="F44" s="108">
        <v>0</v>
      </c>
      <c r="G44" s="108">
        <v>-0.375</v>
      </c>
      <c r="H44" s="108">
        <v>-1</v>
      </c>
      <c r="I44" s="89"/>
    </row>
    <row r="45" spans="1:11">
      <c r="A45" s="1822"/>
      <c r="B45" s="88" t="s">
        <v>26</v>
      </c>
      <c r="C45" s="108">
        <v>0</v>
      </c>
      <c r="D45" s="108">
        <v>-0.24999999999999997</v>
      </c>
      <c r="E45" s="108">
        <v>-0.37500000000000011</v>
      </c>
      <c r="F45" s="108">
        <v>-0.62500000000000011</v>
      </c>
      <c r="G45" s="108">
        <v>-1</v>
      </c>
      <c r="H45" s="108">
        <v>-1.625</v>
      </c>
      <c r="I45" s="89"/>
    </row>
    <row r="46" spans="1:11">
      <c r="A46" s="1822"/>
      <c r="B46" s="88" t="s">
        <v>27</v>
      </c>
      <c r="C46" s="108" t="s">
        <v>14</v>
      </c>
      <c r="D46" s="108" t="s">
        <v>14</v>
      </c>
      <c r="E46" s="108" t="s">
        <v>14</v>
      </c>
      <c r="F46" s="108" t="s">
        <v>14</v>
      </c>
      <c r="G46" s="108" t="s">
        <v>14</v>
      </c>
      <c r="H46" s="108" t="s">
        <v>14</v>
      </c>
      <c r="I46" s="89"/>
    </row>
    <row r="47" spans="1:11">
      <c r="A47" s="1823"/>
      <c r="B47" s="90" t="s">
        <v>28</v>
      </c>
      <c r="C47" s="110" t="s">
        <v>14</v>
      </c>
      <c r="D47" s="110" t="s">
        <v>14</v>
      </c>
      <c r="E47" s="110" t="s">
        <v>14</v>
      </c>
      <c r="F47" s="110" t="s">
        <v>14</v>
      </c>
      <c r="G47" s="110" t="s">
        <v>14</v>
      </c>
      <c r="H47" s="110" t="s">
        <v>14</v>
      </c>
      <c r="I47" s="89"/>
    </row>
    <row r="48" spans="1:11">
      <c r="I48" s="91"/>
    </row>
    <row r="49" spans="1:9">
      <c r="A49" s="3" t="s">
        <v>121</v>
      </c>
      <c r="I49" s="91"/>
    </row>
    <row r="50" spans="1:9">
      <c r="A50" s="64"/>
      <c r="B50" s="102" t="s">
        <v>329</v>
      </c>
      <c r="C50" s="65" t="s">
        <v>122</v>
      </c>
      <c r="D50" s="65" t="s">
        <v>123</v>
      </c>
      <c r="E50" s="65" t="s">
        <v>124</v>
      </c>
      <c r="F50" s="65" t="s">
        <v>125</v>
      </c>
      <c r="G50" s="65" t="s">
        <v>126</v>
      </c>
      <c r="H50" s="65" t="s">
        <v>127</v>
      </c>
      <c r="I50" s="92"/>
    </row>
    <row r="51" spans="1:9">
      <c r="A51" s="93" t="s">
        <v>72</v>
      </c>
      <c r="B51" s="105" t="s">
        <v>73</v>
      </c>
      <c r="C51" s="106">
        <v>-0.25</v>
      </c>
      <c r="D51" s="106">
        <v>-0.25</v>
      </c>
      <c r="E51" s="106">
        <v>-0.25</v>
      </c>
      <c r="F51" s="106">
        <v>-0.375</v>
      </c>
      <c r="G51" s="106">
        <v>-0.5</v>
      </c>
      <c r="H51" s="106">
        <v>-0.5</v>
      </c>
      <c r="I51" s="92"/>
    </row>
    <row r="52" spans="1:9" ht="25.5">
      <c r="A52" s="93" t="s">
        <v>168</v>
      </c>
      <c r="B52" s="105" t="s">
        <v>79</v>
      </c>
      <c r="C52" s="106" t="s">
        <v>14</v>
      </c>
      <c r="D52" s="106" t="s">
        <v>14</v>
      </c>
      <c r="E52" s="106" t="s">
        <v>14</v>
      </c>
      <c r="F52" s="106" t="s">
        <v>14</v>
      </c>
      <c r="G52" s="106" t="s">
        <v>14</v>
      </c>
      <c r="H52" s="106" t="s">
        <v>14</v>
      </c>
      <c r="I52" s="94"/>
    </row>
    <row r="53" spans="1:9">
      <c r="A53" s="1806" t="s">
        <v>47</v>
      </c>
      <c r="B53" s="107" t="s">
        <v>460</v>
      </c>
      <c r="C53" s="108">
        <v>-0.25</v>
      </c>
      <c r="D53" s="108">
        <v>-0.25</v>
      </c>
      <c r="E53" s="108">
        <v>-0.25</v>
      </c>
      <c r="F53" s="108">
        <v>-0.25</v>
      </c>
      <c r="G53" s="108">
        <v>-0.25</v>
      </c>
      <c r="H53" s="108">
        <v>-0.25</v>
      </c>
      <c r="I53" s="89"/>
    </row>
    <row r="54" spans="1:9">
      <c r="A54" s="1807"/>
      <c r="B54" s="107" t="s">
        <v>132</v>
      </c>
      <c r="C54" s="108">
        <v>0</v>
      </c>
      <c r="D54" s="108">
        <v>0</v>
      </c>
      <c r="E54" s="108">
        <v>0</v>
      </c>
      <c r="F54" s="108">
        <v>0</v>
      </c>
      <c r="G54" s="108">
        <v>0</v>
      </c>
      <c r="H54" s="108">
        <v>0</v>
      </c>
      <c r="I54" s="89"/>
    </row>
    <row r="55" spans="1:9">
      <c r="A55" s="1807"/>
      <c r="B55" s="107" t="s">
        <v>133</v>
      </c>
      <c r="C55" s="108">
        <v>0</v>
      </c>
      <c r="D55" s="108">
        <v>0</v>
      </c>
      <c r="E55" s="108">
        <v>0</v>
      </c>
      <c r="F55" s="108">
        <v>0</v>
      </c>
      <c r="G55" s="108">
        <v>0</v>
      </c>
      <c r="H55" s="108">
        <v>0</v>
      </c>
      <c r="I55" s="89"/>
    </row>
    <row r="56" spans="1:9">
      <c r="A56" s="1807"/>
      <c r="B56" s="107" t="s">
        <v>134</v>
      </c>
      <c r="C56" s="108">
        <v>0</v>
      </c>
      <c r="D56" s="108">
        <v>0</v>
      </c>
      <c r="E56" s="108">
        <v>0</v>
      </c>
      <c r="F56" s="108">
        <v>0</v>
      </c>
      <c r="G56" s="108">
        <v>0</v>
      </c>
      <c r="H56" s="108" t="s">
        <v>14</v>
      </c>
      <c r="I56" s="89"/>
    </row>
    <row r="57" spans="1:9">
      <c r="A57" s="1807"/>
      <c r="B57" s="107" t="s">
        <v>135</v>
      </c>
      <c r="C57" s="108">
        <v>-0.25</v>
      </c>
      <c r="D57" s="108">
        <v>-0.25</v>
      </c>
      <c r="E57" s="108">
        <v>-0.25</v>
      </c>
      <c r="F57" s="108">
        <v>-0.25</v>
      </c>
      <c r="G57" s="108" t="s">
        <v>14</v>
      </c>
      <c r="H57" s="108" t="s">
        <v>14</v>
      </c>
      <c r="I57" s="89"/>
    </row>
    <row r="58" spans="1:9">
      <c r="A58" s="1807"/>
      <c r="B58" s="107" t="s">
        <v>136</v>
      </c>
      <c r="C58" s="108">
        <v>-0.375</v>
      </c>
      <c r="D58" s="108">
        <v>-0.375</v>
      </c>
      <c r="E58" s="108">
        <v>-0.375</v>
      </c>
      <c r="F58" s="108" t="s">
        <v>14</v>
      </c>
      <c r="G58" s="108" t="s">
        <v>14</v>
      </c>
      <c r="H58" s="108" t="s">
        <v>14</v>
      </c>
      <c r="I58" s="89"/>
    </row>
    <row r="59" spans="1:9">
      <c r="A59" s="1808"/>
      <c r="B59" s="109" t="s">
        <v>137</v>
      </c>
      <c r="C59" s="711">
        <v>-1</v>
      </c>
      <c r="D59" s="110">
        <v>-1</v>
      </c>
      <c r="E59" s="110">
        <v>-1</v>
      </c>
      <c r="F59" s="110">
        <v>-1.5</v>
      </c>
      <c r="G59" s="110" t="s">
        <v>14</v>
      </c>
      <c r="H59" s="110" t="s">
        <v>14</v>
      </c>
      <c r="I59" s="89"/>
    </row>
    <row r="60" spans="1:9">
      <c r="A60" s="1055" t="s">
        <v>56</v>
      </c>
      <c r="B60" s="111" t="s">
        <v>604</v>
      </c>
      <c r="C60" s="108">
        <v>-0.375</v>
      </c>
      <c r="D60" s="108">
        <v>-0.375</v>
      </c>
      <c r="E60" s="108">
        <v>-0.375</v>
      </c>
      <c r="F60" s="108">
        <v>-0.5</v>
      </c>
      <c r="G60" s="108" t="s">
        <v>14</v>
      </c>
      <c r="H60" s="108" t="s">
        <v>14</v>
      </c>
      <c r="I60" s="89"/>
    </row>
    <row r="61" spans="1:9">
      <c r="A61" s="95" t="s">
        <v>62</v>
      </c>
      <c r="B61" s="111" t="s">
        <v>169</v>
      </c>
      <c r="C61" s="112">
        <v>-0.5</v>
      </c>
      <c r="D61" s="112">
        <v>-0.5</v>
      </c>
      <c r="E61" s="112">
        <v>-0.5</v>
      </c>
      <c r="F61" s="112">
        <v>-0.5</v>
      </c>
      <c r="G61" s="112">
        <v>-0.5</v>
      </c>
      <c r="H61" s="112">
        <v>-0.5</v>
      </c>
      <c r="I61" s="89"/>
    </row>
    <row r="62" spans="1:9">
      <c r="A62" s="95" t="s">
        <v>65</v>
      </c>
      <c r="B62" s="111" t="s">
        <v>170</v>
      </c>
      <c r="C62" s="112">
        <v>-0.5</v>
      </c>
      <c r="D62" s="112">
        <v>-0.5</v>
      </c>
      <c r="E62" s="112">
        <v>-0.5</v>
      </c>
      <c r="F62" s="112">
        <v>-0.5</v>
      </c>
      <c r="G62" s="112">
        <v>-0.625</v>
      </c>
      <c r="H62" s="112">
        <v>-0.75</v>
      </c>
      <c r="I62" s="89"/>
    </row>
    <row r="63" spans="1:9">
      <c r="A63" s="96"/>
      <c r="B63" s="111" t="s">
        <v>99</v>
      </c>
      <c r="C63" s="112">
        <v>0.75</v>
      </c>
      <c r="D63" s="112">
        <v>0.75</v>
      </c>
      <c r="E63" s="112">
        <v>0.75</v>
      </c>
      <c r="F63" s="112">
        <v>0.75</v>
      </c>
      <c r="G63" s="112">
        <v>1</v>
      </c>
      <c r="H63" s="112">
        <v>1.25</v>
      </c>
      <c r="I63" s="89"/>
    </row>
    <row r="64" spans="1:9">
      <c r="A64" s="97" t="s">
        <v>142</v>
      </c>
      <c r="B64" s="107" t="s">
        <v>100</v>
      </c>
      <c r="C64" s="108">
        <v>0.625</v>
      </c>
      <c r="D64" s="108">
        <v>0.625</v>
      </c>
      <c r="E64" s="108">
        <v>0.625</v>
      </c>
      <c r="F64" s="108">
        <v>0.625</v>
      </c>
      <c r="G64" s="108">
        <v>0.75</v>
      </c>
      <c r="H64" s="108">
        <v>1</v>
      </c>
      <c r="I64" s="89"/>
    </row>
    <row r="65" spans="1:9">
      <c r="A65" s="98" t="s">
        <v>143</v>
      </c>
      <c r="B65" s="107" t="s">
        <v>7</v>
      </c>
      <c r="C65" s="108">
        <v>0.125</v>
      </c>
      <c r="D65" s="108">
        <v>0.125</v>
      </c>
      <c r="E65" s="108">
        <v>0.125</v>
      </c>
      <c r="F65" s="108">
        <v>0.125</v>
      </c>
      <c r="G65" s="108">
        <v>0.125</v>
      </c>
      <c r="H65" s="108">
        <v>0.125</v>
      </c>
      <c r="I65" s="89"/>
    </row>
    <row r="66" spans="1:9" ht="15.75">
      <c r="A66" s="98" t="s">
        <v>171</v>
      </c>
      <c r="B66" s="107" t="s">
        <v>9</v>
      </c>
      <c r="C66" s="108">
        <v>-0.5</v>
      </c>
      <c r="D66" s="108">
        <v>-0.5</v>
      </c>
      <c r="E66" s="108">
        <v>-0.5</v>
      </c>
      <c r="F66" s="108">
        <v>-0.5</v>
      </c>
      <c r="G66" s="108">
        <v>-0.5</v>
      </c>
      <c r="H66" s="108">
        <v>-0.5</v>
      </c>
      <c r="I66" s="89"/>
    </row>
    <row r="67" spans="1:9">
      <c r="A67" s="98"/>
      <c r="B67" s="107" t="s">
        <v>11</v>
      </c>
      <c r="C67" s="108">
        <v>-1.6250000000000002</v>
      </c>
      <c r="D67" s="108">
        <v>-1.6250000000000002</v>
      </c>
      <c r="E67" s="108">
        <v>-1.6250000000000002</v>
      </c>
      <c r="F67" s="108">
        <v>-1.6250000000000002</v>
      </c>
      <c r="G67" s="108">
        <v>-1.6250000000000002</v>
      </c>
      <c r="H67" s="108">
        <v>-1.6250000000000002</v>
      </c>
      <c r="I67" s="89"/>
    </row>
    <row r="68" spans="1:9">
      <c r="A68" s="99"/>
      <c r="B68" s="109" t="s">
        <v>101</v>
      </c>
      <c r="C68" s="110">
        <v>-2.25</v>
      </c>
      <c r="D68" s="110">
        <v>-2.25</v>
      </c>
      <c r="E68" s="110">
        <v>-2.25</v>
      </c>
      <c r="F68" s="110">
        <v>-2.25</v>
      </c>
      <c r="G68" s="110">
        <v>-2.25</v>
      </c>
      <c r="H68" s="110">
        <v>-2.25</v>
      </c>
      <c r="I68" s="89"/>
    </row>
    <row r="69" spans="1:9">
      <c r="A69" s="1807" t="s">
        <v>68</v>
      </c>
      <c r="B69" s="107" t="s">
        <v>69</v>
      </c>
      <c r="C69" s="108">
        <v>-0.25</v>
      </c>
      <c r="D69" s="108">
        <v>-0.25</v>
      </c>
      <c r="E69" s="108">
        <v>-0.25</v>
      </c>
      <c r="F69" s="108">
        <v>-0.25</v>
      </c>
      <c r="G69" s="108">
        <v>-0.25</v>
      </c>
      <c r="H69" s="108">
        <v>-0.25</v>
      </c>
      <c r="I69" s="89"/>
    </row>
    <row r="70" spans="1:9">
      <c r="A70" s="1808"/>
      <c r="B70" s="109" t="s">
        <v>172</v>
      </c>
      <c r="C70" s="110">
        <v>-0.25</v>
      </c>
      <c r="D70" s="110">
        <v>-0.25</v>
      </c>
      <c r="E70" s="110">
        <v>-0.25</v>
      </c>
      <c r="F70" s="110">
        <v>-0.25</v>
      </c>
      <c r="G70" s="110">
        <v>-0.25</v>
      </c>
      <c r="H70" s="110">
        <v>-0.25</v>
      </c>
      <c r="I70" s="89"/>
    </row>
  </sheetData>
  <mergeCells count="7">
    <mergeCell ref="A69:A70"/>
    <mergeCell ref="A41:A47"/>
    <mergeCell ref="A53:A59"/>
    <mergeCell ref="C2:I2"/>
    <mergeCell ref="A7:D7"/>
    <mergeCell ref="G7:H7"/>
    <mergeCell ref="G25:I25"/>
  </mergeCells>
  <conditionalFormatting sqref="D3:D4">
    <cfRule type="cellIs" dxfId="110" priority="1" operator="equal">
      <formula>"N/A"</formula>
    </cfRule>
  </conditionalFormatting>
  <dataValidations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7F3A246-11BA-4D35-B5AB-A557FE0A463B}">
          <x14:formula1>
            <xm:f>margins!$N$165:$N$167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margins!$A$144:$A$150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margins!$A$180:$A$181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margins!$A$152:$A$153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margins!$Z$119:$Z$120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margins!$Z$137:$Z$138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margins!$Z$122:$Z$123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margins!$Z$125:$Z$126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margins!$Z$116:$Z$117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margins!$Z$128:$Z$135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zoomScale="90" zoomScaleNormal="100" zoomScaleSheetLayoutView="90" workbookViewId="0">
      <selection activeCell="P10" sqref="P10:S10"/>
    </sheetView>
  </sheetViews>
  <sheetFormatPr defaultRowHeight="15"/>
  <cols>
    <col min="1" max="1" width="3.5703125" style="1058" customWidth="1"/>
    <col min="2" max="2" width="18.140625" style="1057" customWidth="1"/>
    <col min="3" max="4" width="13.7109375" style="1057" customWidth="1"/>
    <col min="5" max="5" width="13.85546875" style="1057" customWidth="1"/>
    <col min="6" max="6" width="13.7109375" style="1057" customWidth="1"/>
    <col min="7" max="7" width="16.42578125" style="1057" bestFit="1" customWidth="1"/>
    <col min="8" max="8" width="19.42578125" style="1057" customWidth="1"/>
    <col min="9" max="9" width="13.7109375" style="1057" customWidth="1"/>
    <col min="10" max="10" width="16.5703125" style="1057" customWidth="1"/>
    <col min="11" max="11" width="16.42578125" style="1057" customWidth="1"/>
    <col min="12" max="12" width="13.7109375" style="1057" customWidth="1"/>
    <col min="13" max="13" width="5" style="1057" customWidth="1"/>
    <col min="14" max="14" width="9.140625" style="1056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9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6">
        <f ca="1">NOW()</f>
        <v>45978.399704166666</v>
      </c>
      <c r="L2" s="1756"/>
      <c r="M2" s="1478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5" t="s">
        <v>648</v>
      </c>
      <c r="L3" s="1755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2"/>
      <c r="L4" s="1462"/>
      <c r="M4" s="1470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7"/>
      <c r="L5" s="1462" t="s">
        <v>182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70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70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1"/>
    </row>
    <row r="10" spans="1:17" s="1057" customFormat="1" ht="14.25" customHeight="1">
      <c r="A10" s="1757" t="s">
        <v>666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9"/>
      <c r="O10" s="1717" t="s">
        <v>348</v>
      </c>
      <c r="P10" s="1718"/>
      <c r="Q10" s="1718"/>
    </row>
    <row r="11" spans="1:17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2"/>
      <c r="O11" s="471"/>
      <c r="P11" s="471"/>
      <c r="Q11" s="471"/>
    </row>
    <row r="12" spans="1:17" s="1057" customFormat="1" ht="15.75" thickBot="1">
      <c r="A12" s="1265"/>
      <c r="B12" s="1263"/>
      <c r="C12" s="1743" t="s">
        <v>476</v>
      </c>
      <c r="D12" s="1744"/>
      <c r="E12" s="1745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61" t="s">
        <v>13</v>
      </c>
      <c r="D13" s="1430" t="s">
        <v>88</v>
      </c>
      <c r="E13" s="1482" t="s">
        <v>647</v>
      </c>
      <c r="G13" s="1202" t="s">
        <v>646</v>
      </c>
      <c r="H13" s="1201"/>
      <c r="I13" s="1062"/>
      <c r="J13" s="1202" t="s">
        <v>645</v>
      </c>
      <c r="K13" s="1"/>
      <c r="L13" s="1"/>
      <c r="M13" s="1061"/>
      <c r="O13" s="471"/>
      <c r="P13" s="471"/>
      <c r="Q13" s="471"/>
    </row>
    <row r="14" spans="1:17" s="1057" customFormat="1">
      <c r="A14" s="1250"/>
      <c r="B14" s="1480">
        <f>margins!AR2</f>
        <v>8.25</v>
      </c>
      <c r="C14" s="1483">
        <v>99.225000000000009</v>
      </c>
      <c r="D14" s="1481">
        <v>98.675000000000011</v>
      </c>
      <c r="E14" s="1485">
        <v>98.175000000000011</v>
      </c>
      <c r="G14" s="1233" t="s">
        <v>97</v>
      </c>
      <c r="H14" s="1467" t="s">
        <v>6</v>
      </c>
      <c r="I14" s="1062"/>
      <c r="J14" s="1521" t="s">
        <v>657</v>
      </c>
      <c r="K14" s="1256">
        <v>0</v>
      </c>
      <c r="M14" s="1061"/>
      <c r="O14" s="658" t="s">
        <v>210</v>
      </c>
      <c r="P14" s="659" t="s">
        <v>93</v>
      </c>
      <c r="Q14" s="488"/>
    </row>
    <row r="15" spans="1:17" s="1057" customFormat="1" ht="15.75" thickBot="1">
      <c r="A15" s="1250"/>
      <c r="B15" s="1284">
        <f>margins!AR3</f>
        <v>8.375</v>
      </c>
      <c r="C15" s="1484">
        <v>99.888000000000005</v>
      </c>
      <c r="D15" s="1479">
        <v>99.338000000000008</v>
      </c>
      <c r="E15" s="1486">
        <v>98.838000000000008</v>
      </c>
      <c r="G15" s="1459" t="s">
        <v>99</v>
      </c>
      <c r="H15" s="1255">
        <v>101</v>
      </c>
      <c r="I15" s="1062"/>
      <c r="J15" s="1522" t="s">
        <v>644</v>
      </c>
      <c r="K15" s="1258">
        <v>-0.375</v>
      </c>
      <c r="M15" s="1061"/>
      <c r="O15" s="660" t="s">
        <v>211</v>
      </c>
      <c r="P15" s="661">
        <v>9</v>
      </c>
      <c r="Q15" s="489">
        <f>IF(P14="7/6 Arm",VLOOKUP(P15,$B$14:$E$42,2,FALSE),IF(P14="10/6 Arm",VLOOKUP(P15,$B$14:$E$42,3,FALSE),VLOOKUP(P15,$B$14:$E$42,4,FALSE)))</f>
        <v>101.738</v>
      </c>
    </row>
    <row r="16" spans="1:17" s="1057" customFormat="1">
      <c r="A16" s="1250"/>
      <c r="B16" s="1284">
        <f>margins!AR4</f>
        <v>8.5</v>
      </c>
      <c r="C16" s="1484">
        <v>100.65</v>
      </c>
      <c r="D16" s="1479">
        <v>100.10000000000001</v>
      </c>
      <c r="E16" s="1486">
        <v>99.600000000000009</v>
      </c>
      <c r="G16" s="1459" t="s">
        <v>100</v>
      </c>
      <c r="H16" s="1255">
        <v>101</v>
      </c>
      <c r="I16" s="1062"/>
      <c r="M16" s="1061"/>
      <c r="O16" s="660" t="s">
        <v>386</v>
      </c>
      <c r="P16" s="661" t="s">
        <v>19</v>
      </c>
      <c r="Q16" s="489"/>
    </row>
    <row r="17" spans="1:17" s="1057" customFormat="1" ht="15.75" thickBot="1">
      <c r="A17" s="1250"/>
      <c r="B17" s="1284">
        <f>margins!AR5</f>
        <v>8.625</v>
      </c>
      <c r="C17" s="1484">
        <v>101.313</v>
      </c>
      <c r="D17" s="1479">
        <v>100.76300000000001</v>
      </c>
      <c r="E17" s="1486">
        <v>100.26300000000001</v>
      </c>
      <c r="G17" s="1459" t="s">
        <v>7</v>
      </c>
      <c r="H17" s="1255">
        <v>101</v>
      </c>
      <c r="I17" s="1062"/>
      <c r="J17" s="1202" t="s">
        <v>641</v>
      </c>
      <c r="K17" s="1201"/>
      <c r="L17" s="1201"/>
      <c r="M17" s="1070"/>
      <c r="O17" s="660" t="s">
        <v>212</v>
      </c>
      <c r="P17" s="661" t="s">
        <v>26</v>
      </c>
      <c r="Q17" s="489">
        <f>IFERROR(INDEX($C$42:$H$47,MATCH(P17,E45:E50,0),MATCH(P16,F44:K44,0),1),0)</f>
        <v>0</v>
      </c>
    </row>
    <row r="18" spans="1:17" s="1057" customFormat="1" ht="15" customHeight="1">
      <c r="A18" s="1250"/>
      <c r="B18" s="1284">
        <f>margins!AR6</f>
        <v>8.75</v>
      </c>
      <c r="C18" s="1484">
        <v>102.21300000000001</v>
      </c>
      <c r="D18" s="1479">
        <v>101.66300000000001</v>
      </c>
      <c r="E18" s="1486">
        <v>101.16300000000001</v>
      </c>
      <c r="G18" s="1459" t="s">
        <v>9</v>
      </c>
      <c r="H18" s="1255">
        <v>101</v>
      </c>
      <c r="I18" s="1062"/>
      <c r="J18" s="1846" t="s">
        <v>148</v>
      </c>
      <c r="K18" s="1847"/>
      <c r="L18" s="1848"/>
      <c r="M18" s="1061"/>
      <c r="O18" s="660" t="s">
        <v>72</v>
      </c>
      <c r="P18" s="661" t="s">
        <v>203</v>
      </c>
      <c r="Q18" s="489">
        <f t="shared" ref="Q18:Q26" si="0">IFERROR(INDEX($C$51:$H$70,MATCH(P18,$B$51:$B$70,0),MATCH($M$13,$C$41:$H$41,0),1),0)</f>
        <v>0</v>
      </c>
    </row>
    <row r="19" spans="1:17" s="1057" customFormat="1">
      <c r="A19" s="1250"/>
      <c r="B19" s="1284">
        <f>margins!AR7</f>
        <v>8.875</v>
      </c>
      <c r="C19" s="1484">
        <v>102.5</v>
      </c>
      <c r="D19" s="1479">
        <v>101.95</v>
      </c>
      <c r="E19" s="1486">
        <v>101.45</v>
      </c>
      <c r="G19" s="1459" t="s">
        <v>11</v>
      </c>
      <c r="H19" s="1255">
        <v>99.275000000000006</v>
      </c>
      <c r="I19" s="1062"/>
      <c r="J19" s="1834"/>
      <c r="K19" s="1835"/>
      <c r="L19" s="1836"/>
      <c r="M19" s="1061"/>
      <c r="O19" s="660" t="s">
        <v>213</v>
      </c>
      <c r="P19" s="661" t="s">
        <v>203</v>
      </c>
      <c r="Q19" s="489">
        <f t="shared" si="0"/>
        <v>0</v>
      </c>
    </row>
    <row r="20" spans="1:17" s="1057" customFormat="1" ht="15.75" thickBot="1">
      <c r="A20" s="1250"/>
      <c r="B20" s="1284">
        <f>margins!AR8</f>
        <v>9</v>
      </c>
      <c r="C20" s="1484">
        <v>102.78800000000001</v>
      </c>
      <c r="D20" s="1479">
        <v>102.238</v>
      </c>
      <c r="E20" s="1486">
        <v>101.738</v>
      </c>
      <c r="F20" s="1062"/>
      <c r="G20" s="1460" t="s">
        <v>101</v>
      </c>
      <c r="H20" s="1254">
        <v>98.275000000000006</v>
      </c>
      <c r="I20" s="1062"/>
      <c r="J20" s="1834" t="s">
        <v>746</v>
      </c>
      <c r="K20" s="1835"/>
      <c r="L20" s="1836"/>
      <c r="M20" s="1061"/>
      <c r="O20" s="660" t="s">
        <v>47</v>
      </c>
      <c r="P20" s="661" t="s">
        <v>203</v>
      </c>
      <c r="Q20" s="489">
        <f t="shared" si="0"/>
        <v>0</v>
      </c>
    </row>
    <row r="21" spans="1:17" s="1057" customFormat="1">
      <c r="A21" s="1250"/>
      <c r="B21" s="1284">
        <f>margins!AR9</f>
        <v>9.125</v>
      </c>
      <c r="C21" s="1484">
        <v>103.375</v>
      </c>
      <c r="D21" s="1479">
        <v>102.825</v>
      </c>
      <c r="E21" s="1486">
        <v>102.325</v>
      </c>
      <c r="F21" s="1062"/>
      <c r="G21" s="1251"/>
      <c r="H21" s="1205"/>
      <c r="I21" s="1062"/>
      <c r="J21" s="1834"/>
      <c r="K21" s="1835"/>
      <c r="L21" s="1836"/>
      <c r="M21" s="1061"/>
      <c r="O21" s="660" t="s">
        <v>56</v>
      </c>
      <c r="P21" s="661" t="s">
        <v>203</v>
      </c>
      <c r="Q21" s="489">
        <f t="shared" si="0"/>
        <v>0</v>
      </c>
    </row>
    <row r="22" spans="1:17" s="1057" customFormat="1">
      <c r="A22" s="1250"/>
      <c r="B22" s="1284">
        <f>margins!AR10</f>
        <v>9.25</v>
      </c>
      <c r="C22" s="1484">
        <v>103.96300000000001</v>
      </c>
      <c r="D22" s="1479">
        <v>103.41300000000001</v>
      </c>
      <c r="E22" s="1486">
        <v>102.91300000000001</v>
      </c>
      <c r="F22" s="1249"/>
      <c r="G22" s="1201"/>
      <c r="I22" s="1202"/>
      <c r="J22" s="1834" t="s">
        <v>747</v>
      </c>
      <c r="K22" s="1835"/>
      <c r="L22" s="1836"/>
      <c r="M22" s="1061"/>
      <c r="O22" s="660" t="s">
        <v>62</v>
      </c>
      <c r="P22" s="661" t="s">
        <v>203</v>
      </c>
      <c r="Q22" s="489">
        <f t="shared" si="0"/>
        <v>0</v>
      </c>
    </row>
    <row r="23" spans="1:17" s="1057" customFormat="1" ht="15.75" thickBot="1">
      <c r="A23" s="1203"/>
      <c r="B23" s="1284">
        <f>margins!AR11</f>
        <v>9.375</v>
      </c>
      <c r="C23" s="1484">
        <v>104.488</v>
      </c>
      <c r="D23" s="1479">
        <v>103.938</v>
      </c>
      <c r="E23" s="1486">
        <v>103.438</v>
      </c>
      <c r="F23" s="1249"/>
      <c r="G23" s="1202" t="s">
        <v>642</v>
      </c>
      <c r="H23" s="1062"/>
      <c r="I23"/>
      <c r="J23" s="1834"/>
      <c r="K23" s="1835"/>
      <c r="L23" s="1836"/>
      <c r="M23" s="1472"/>
      <c r="O23" s="660" t="s">
        <v>141</v>
      </c>
      <c r="P23" s="661" t="s">
        <v>203</v>
      </c>
      <c r="Q23" s="489">
        <f t="shared" si="0"/>
        <v>0</v>
      </c>
    </row>
    <row r="24" spans="1:17" s="1057" customFormat="1" ht="14.25" customHeight="1">
      <c r="A24" s="1203"/>
      <c r="B24" s="1284">
        <f>margins!AR12</f>
        <v>9.5</v>
      </c>
      <c r="C24" s="1484">
        <v>105.01300000000001</v>
      </c>
      <c r="D24" s="1479">
        <v>104.46300000000001</v>
      </c>
      <c r="E24" s="1486">
        <v>103.96300000000001</v>
      </c>
      <c r="F24" s="1249"/>
      <c r="G24" s="1248" t="s">
        <v>267</v>
      </c>
      <c r="H24" s="1468" t="s">
        <v>640</v>
      </c>
      <c r="I24"/>
      <c r="J24" s="1834" t="s">
        <v>238</v>
      </c>
      <c r="K24" s="1835"/>
      <c r="L24" s="1836"/>
      <c r="M24" s="1477"/>
      <c r="O24" s="660" t="s">
        <v>215</v>
      </c>
      <c r="P24" s="661" t="s">
        <v>99</v>
      </c>
      <c r="Q24" s="489">
        <f t="shared" si="0"/>
        <v>0</v>
      </c>
    </row>
    <row r="25" spans="1:17" s="1057" customFormat="1" ht="15.75" thickBot="1">
      <c r="A25" s="1203"/>
      <c r="B25" s="1284">
        <f>margins!AR13</f>
        <v>9.625</v>
      </c>
      <c r="C25" s="1484">
        <v>105.53800000000001</v>
      </c>
      <c r="D25" s="1479">
        <v>104.988</v>
      </c>
      <c r="E25" s="1486">
        <v>104.488</v>
      </c>
      <c r="G25" s="1247" t="s">
        <v>223</v>
      </c>
      <c r="H25" s="1464">
        <v>6.5</v>
      </c>
      <c r="I25"/>
      <c r="J25" s="1837"/>
      <c r="K25" s="1838"/>
      <c r="L25" s="1839"/>
      <c r="M25" s="1477"/>
      <c r="O25" s="660" t="s">
        <v>69</v>
      </c>
      <c r="P25" s="661" t="s">
        <v>203</v>
      </c>
      <c r="Q25" s="489">
        <f t="shared" si="0"/>
        <v>0</v>
      </c>
    </row>
    <row r="26" spans="1:17" s="1057" customFormat="1" ht="14.25" customHeight="1">
      <c r="A26" s="1203"/>
      <c r="B26" s="1284">
        <f>margins!AR14</f>
        <v>9.75</v>
      </c>
      <c r="C26" s="1484">
        <v>106.063</v>
      </c>
      <c r="D26" s="1479">
        <v>105.51300000000001</v>
      </c>
      <c r="E26" s="1486">
        <v>105.01300000000001</v>
      </c>
      <c r="G26" s="1247" t="s">
        <v>639</v>
      </c>
      <c r="H26" s="1464" t="s">
        <v>638</v>
      </c>
      <c r="I26"/>
      <c r="J26"/>
      <c r="K26"/>
      <c r="L26"/>
      <c r="M26" s="1477"/>
      <c r="O26" s="660" t="s">
        <v>172</v>
      </c>
      <c r="P26" s="661" t="s">
        <v>203</v>
      </c>
      <c r="Q26" s="489">
        <f t="shared" si="0"/>
        <v>0</v>
      </c>
    </row>
    <row r="27" spans="1:17" s="1057" customFormat="1">
      <c r="A27" s="1203"/>
      <c r="B27" s="1284">
        <f>margins!AR15</f>
        <v>9.875</v>
      </c>
      <c r="C27" s="1484">
        <v>106.58800000000001</v>
      </c>
      <c r="D27" s="1479">
        <v>106.03800000000001</v>
      </c>
      <c r="E27" s="1486">
        <v>105.53800000000001</v>
      </c>
      <c r="G27" s="1247" t="s">
        <v>637</v>
      </c>
      <c r="H27" s="1465" t="s">
        <v>263</v>
      </c>
      <c r="I27"/>
      <c r="J27"/>
      <c r="K27"/>
      <c r="L27"/>
      <c r="M27" s="1477"/>
      <c r="O27" s="660" t="s">
        <v>217</v>
      </c>
      <c r="P27" s="661" t="s">
        <v>203</v>
      </c>
      <c r="Q27" s="489">
        <f>IF(P27=30,0,IF(P27=45, K15, 0))</f>
        <v>0</v>
      </c>
    </row>
    <row r="28" spans="1:17" s="1057" customFormat="1" ht="14.25" customHeight="1" thickBot="1">
      <c r="A28" s="1203"/>
      <c r="B28" s="1284">
        <f>margins!AR16</f>
        <v>10</v>
      </c>
      <c r="C28" s="1484">
        <v>107.113</v>
      </c>
      <c r="D28" s="1479">
        <v>106.563</v>
      </c>
      <c r="E28" s="1486">
        <v>106.063</v>
      </c>
      <c r="G28" s="1244" t="s">
        <v>636</v>
      </c>
      <c r="H28" s="1466" t="s">
        <v>635</v>
      </c>
      <c r="I28"/>
      <c r="J28" s="1202" t="s">
        <v>153</v>
      </c>
      <c r="K28"/>
      <c r="L28"/>
      <c r="M28" s="1477"/>
      <c r="O28" s="662" t="s">
        <v>218</v>
      </c>
      <c r="P28" s="486"/>
      <c r="Q28" s="490">
        <f>Q17+Q19+Q20+Q21+Q22+Q23+Q24+Q25+Q26+Q27</f>
        <v>0</v>
      </c>
    </row>
    <row r="29" spans="1:17" s="1057" customFormat="1" ht="15.75" thickBot="1">
      <c r="A29" s="1203"/>
      <c r="B29" s="1284">
        <f>margins!AR17</f>
        <v>10.125</v>
      </c>
      <c r="C29" s="1484">
        <v>107.63800000000001</v>
      </c>
      <c r="D29" s="1479">
        <v>107.08800000000001</v>
      </c>
      <c r="E29" s="1486">
        <v>106.58800000000001</v>
      </c>
      <c r="I29"/>
      <c r="J29" s="1518" t="s">
        <v>154</v>
      </c>
      <c r="K29" s="1840" t="s">
        <v>155</v>
      </c>
      <c r="L29" s="1841"/>
      <c r="M29" s="1477"/>
      <c r="O29" s="473"/>
      <c r="P29" s="474"/>
      <c r="Q29" s="483"/>
    </row>
    <row r="30" spans="1:17" s="1057" customFormat="1" ht="15.75" thickBot="1">
      <c r="A30" s="1203"/>
      <c r="B30" s="1284">
        <f>margins!AR18</f>
        <v>10.25</v>
      </c>
      <c r="C30" s="1484">
        <v>108.16300000000001</v>
      </c>
      <c r="D30" s="1479">
        <v>107.613</v>
      </c>
      <c r="E30" s="1486">
        <v>107.113</v>
      </c>
      <c r="G30" s="1202"/>
      <c r="H30" s="1201"/>
      <c r="J30" s="1519" t="s">
        <v>156</v>
      </c>
      <c r="K30" s="1844" t="s">
        <v>687</v>
      </c>
      <c r="L30" s="1845"/>
      <c r="M30" s="1473"/>
      <c r="O30" s="475" t="s">
        <v>219</v>
      </c>
      <c r="P30" s="476"/>
      <c r="Q30" s="491">
        <f>IF(ISNUMBER(MATCH("NA", Q17:Q27, 0)), "NA", MIN(Q28+Q15,VLOOKUP($P$24,$G$15:$H$20,2,FALSE)))</f>
        <v>101</v>
      </c>
    </row>
    <row r="31" spans="1:17" s="1057" customFormat="1" ht="15.75" thickBot="1">
      <c r="A31" s="1203"/>
      <c r="B31" s="1284">
        <f>margins!AR19</f>
        <v>10.375</v>
      </c>
      <c r="C31" s="1484">
        <v>108.688</v>
      </c>
      <c r="D31" s="1479">
        <v>108.13800000000001</v>
      </c>
      <c r="E31" s="1486">
        <v>107.63800000000001</v>
      </c>
      <c r="G31" s="1202"/>
      <c r="H31" s="1201"/>
      <c r="J31" s="1519" t="s">
        <v>157</v>
      </c>
      <c r="K31" s="1844" t="s">
        <v>158</v>
      </c>
      <c r="L31" s="1845"/>
      <c r="M31" s="1473"/>
      <c r="O31" s="470"/>
      <c r="P31" s="470"/>
      <c r="Q31" s="470"/>
    </row>
    <row r="32" spans="1:17" s="1057" customFormat="1" ht="15.75" thickBot="1">
      <c r="A32" s="1203"/>
      <c r="B32" s="1284">
        <f>margins!AR20</f>
        <v>10.5</v>
      </c>
      <c r="C32" s="1484">
        <v>109.21300000000001</v>
      </c>
      <c r="D32" s="1479">
        <v>108.66300000000001</v>
      </c>
      <c r="E32" s="1486">
        <v>108.16300000000001</v>
      </c>
      <c r="J32" s="1519" t="s">
        <v>159</v>
      </c>
      <c r="K32" s="1844" t="s">
        <v>160</v>
      </c>
      <c r="L32" s="1845"/>
      <c r="M32" s="1061"/>
      <c r="O32" s="846" t="s">
        <v>483</v>
      </c>
      <c r="P32" s="844"/>
      <c r="Q32" s="845"/>
    </row>
    <row r="33" spans="1:13" s="1057" customFormat="1">
      <c r="A33" s="1203"/>
      <c r="B33" s="1284">
        <f>margins!AR21</f>
        <v>10.625</v>
      </c>
      <c r="C33" s="1484">
        <v>109.738</v>
      </c>
      <c r="D33" s="1479">
        <v>109.188</v>
      </c>
      <c r="E33" s="1486">
        <v>108.688</v>
      </c>
      <c r="J33" s="1519" t="s">
        <v>161</v>
      </c>
      <c r="K33" s="1844" t="s">
        <v>162</v>
      </c>
      <c r="L33" s="1845"/>
      <c r="M33" s="1061"/>
    </row>
    <row r="34" spans="1:13" s="1057" customFormat="1" ht="15.75" thickBot="1">
      <c r="A34" s="1203"/>
      <c r="B34" s="1284">
        <f>margins!AR22</f>
        <v>10.75</v>
      </c>
      <c r="C34" s="1484">
        <v>110.2</v>
      </c>
      <c r="D34" s="1479">
        <v>109.65</v>
      </c>
      <c r="E34" s="1486">
        <v>109.15</v>
      </c>
      <c r="J34" s="1520" t="s">
        <v>163</v>
      </c>
      <c r="K34" s="1842" t="s">
        <v>164</v>
      </c>
      <c r="L34" s="1843"/>
      <c r="M34" s="1061"/>
    </row>
    <row r="35" spans="1:13" s="1057" customFormat="1">
      <c r="A35" s="1203"/>
      <c r="B35" s="1284">
        <f>margins!AR23</f>
        <v>10.875</v>
      </c>
      <c r="C35" s="1484">
        <v>110.60000000000001</v>
      </c>
      <c r="D35" s="1479">
        <v>110.05000000000001</v>
      </c>
      <c r="E35" s="1486">
        <v>109.55000000000001</v>
      </c>
      <c r="M35" s="1061"/>
    </row>
    <row r="36" spans="1:13" s="1057" customFormat="1">
      <c r="A36" s="1203"/>
      <c r="B36" s="1284">
        <f>margins!AR24</f>
        <v>11</v>
      </c>
      <c r="C36" s="1484">
        <v>111</v>
      </c>
      <c r="D36" s="1479">
        <v>110.45</v>
      </c>
      <c r="E36" s="1486">
        <v>109.95</v>
      </c>
      <c r="M36" s="1061"/>
    </row>
    <row r="37" spans="1:13" s="1057" customFormat="1">
      <c r="A37" s="1203"/>
      <c r="B37" s="1284">
        <f>margins!AR25</f>
        <v>11.125</v>
      </c>
      <c r="C37" s="1484">
        <v>111.4</v>
      </c>
      <c r="D37" s="1479">
        <v>110.85000000000001</v>
      </c>
      <c r="E37" s="1486">
        <v>110.35000000000001</v>
      </c>
      <c r="M37" s="1061"/>
    </row>
    <row r="38" spans="1:13" s="1057" customFormat="1">
      <c r="A38" s="1203"/>
      <c r="B38" s="1284">
        <f>margins!AR26</f>
        <v>11.25</v>
      </c>
      <c r="C38" s="1484">
        <v>111.80000000000001</v>
      </c>
      <c r="D38" s="1479">
        <v>111.25</v>
      </c>
      <c r="E38" s="1486">
        <v>110.75</v>
      </c>
      <c r="M38" s="1061"/>
    </row>
    <row r="39" spans="1:13" s="1057" customFormat="1">
      <c r="A39" s="1203"/>
      <c r="B39" s="1284">
        <f>margins!AR27</f>
        <v>11.375</v>
      </c>
      <c r="C39" s="1484">
        <v>112.2</v>
      </c>
      <c r="D39" s="1479">
        <v>111.65</v>
      </c>
      <c r="E39" s="1486">
        <v>111.15</v>
      </c>
      <c r="M39" s="1061"/>
    </row>
    <row r="40" spans="1:13" s="1057" customFormat="1">
      <c r="A40" s="1203"/>
      <c r="B40" s="1284">
        <f>margins!AR28</f>
        <v>11.5</v>
      </c>
      <c r="C40" s="1484">
        <v>112.60000000000001</v>
      </c>
      <c r="D40" s="1479">
        <v>112.05000000000001</v>
      </c>
      <c r="E40" s="1486">
        <v>111.55000000000001</v>
      </c>
      <c r="M40" s="1061"/>
    </row>
    <row r="41" spans="1:13" s="1057" customFormat="1">
      <c r="A41" s="1203"/>
      <c r="B41" s="1284">
        <f>margins!AR29</f>
        <v>11.625</v>
      </c>
      <c r="C41" s="1484">
        <v>113</v>
      </c>
      <c r="D41" s="1479">
        <v>112.45</v>
      </c>
      <c r="E41" s="1486">
        <v>111.95</v>
      </c>
      <c r="M41" s="1061"/>
    </row>
    <row r="42" spans="1:13" s="1057" customFormat="1" ht="15.75" thickBot="1">
      <c r="A42" s="1203"/>
      <c r="B42" s="1283"/>
      <c r="C42" s="1237"/>
      <c r="D42" s="1236"/>
      <c r="E42" s="1337"/>
      <c r="M42" s="1061"/>
    </row>
    <row r="43" spans="1:13" s="1057" customFormat="1">
      <c r="A43" s="1203"/>
      <c r="B43" s="1235"/>
      <c r="C43" s="1234"/>
      <c r="D43" s="1336"/>
      <c r="M43" s="1061"/>
    </row>
    <row r="44" spans="1:13" s="1057" customFormat="1" ht="15.75" thickBot="1">
      <c r="A44" s="1203"/>
      <c r="G44" s="1202"/>
      <c r="H44" s="1201"/>
      <c r="M44" s="1061"/>
    </row>
    <row r="45" spans="1:13" s="1057" customFormat="1" ht="15.75" thickBot="1">
      <c r="A45" s="1203"/>
      <c r="B45" s="1852" t="s">
        <v>244</v>
      </c>
      <c r="C45" s="1852"/>
      <c r="D45" s="1852"/>
      <c r="E45" s="1743" t="s">
        <v>329</v>
      </c>
      <c r="F45" s="1744"/>
      <c r="G45" s="1744"/>
      <c r="H45" s="1744"/>
      <c r="I45" s="1744"/>
      <c r="J45" s="1745"/>
      <c r="M45" s="1061"/>
    </row>
    <row r="46" spans="1:13" s="1057" customFormat="1" ht="15.75" thickBot="1">
      <c r="A46" s="1203"/>
      <c r="B46" s="1441"/>
      <c r="C46" s="1454"/>
      <c r="D46" s="1455" t="s">
        <v>203</v>
      </c>
      <c r="E46" s="1229" t="s">
        <v>15</v>
      </c>
      <c r="F46" s="1232" t="s">
        <v>16</v>
      </c>
      <c r="G46" s="1229" t="s">
        <v>17</v>
      </c>
      <c r="H46" s="1231" t="s">
        <v>18</v>
      </c>
      <c r="I46" s="1230" t="s">
        <v>19</v>
      </c>
      <c r="J46" s="1228" t="s">
        <v>20</v>
      </c>
      <c r="M46" s="1061"/>
    </row>
    <row r="47" spans="1:13" s="1057" customFormat="1">
      <c r="A47" s="1203"/>
      <c r="B47" s="1749" t="s">
        <v>167</v>
      </c>
      <c r="C47" s="1791" t="s">
        <v>116</v>
      </c>
      <c r="D47" s="1853"/>
      <c r="E47" s="1215">
        <v>1.25</v>
      </c>
      <c r="F47" s="1215">
        <v>1</v>
      </c>
      <c r="G47" s="1215">
        <v>0.75</v>
      </c>
      <c r="H47" s="1215">
        <v>0.375</v>
      </c>
      <c r="I47" s="1215">
        <v>0.12500000000000003</v>
      </c>
      <c r="J47" s="1214">
        <v>-0.24999999999999997</v>
      </c>
      <c r="M47" s="1061"/>
    </row>
    <row r="48" spans="1:13" s="1057" customFormat="1">
      <c r="A48" s="1203"/>
      <c r="B48" s="1749"/>
      <c r="C48" s="1791" t="s">
        <v>24</v>
      </c>
      <c r="D48" s="1853"/>
      <c r="E48" s="1215">
        <v>1.125</v>
      </c>
      <c r="F48" s="1215">
        <v>0.875</v>
      </c>
      <c r="G48" s="1215">
        <v>0.49999999999999989</v>
      </c>
      <c r="H48" s="1215">
        <v>0.24999999999999989</v>
      </c>
      <c r="I48" s="1215">
        <v>-0.12500000000000011</v>
      </c>
      <c r="J48" s="1214">
        <v>-0.625</v>
      </c>
      <c r="M48" s="1061"/>
    </row>
    <row r="49" spans="1:13" s="1057" customFormat="1">
      <c r="A49" s="1203"/>
      <c r="B49" s="1749"/>
      <c r="C49" s="1791" t="s">
        <v>25</v>
      </c>
      <c r="D49" s="1853"/>
      <c r="E49" s="1215">
        <v>0.625</v>
      </c>
      <c r="F49" s="1215">
        <v>0.375</v>
      </c>
      <c r="G49" s="1215">
        <v>0.24999999999999986</v>
      </c>
      <c r="H49" s="1215">
        <v>0</v>
      </c>
      <c r="I49" s="1215">
        <v>-0.375</v>
      </c>
      <c r="J49" s="1214">
        <v>-1</v>
      </c>
      <c r="M49" s="1061"/>
    </row>
    <row r="50" spans="1:13" s="1057" customFormat="1" ht="15.75" thickBot="1">
      <c r="A50" s="1203"/>
      <c r="B50" s="1789"/>
      <c r="C50" s="1737" t="s">
        <v>26</v>
      </c>
      <c r="D50" s="1739"/>
      <c r="E50" s="1277">
        <v>0</v>
      </c>
      <c r="F50" s="1277">
        <v>-0.24999999999999997</v>
      </c>
      <c r="G50" s="1277">
        <v>-0.37500000000000011</v>
      </c>
      <c r="H50" s="1277">
        <v>-0.62500000000000011</v>
      </c>
      <c r="I50" s="1277">
        <v>-1</v>
      </c>
      <c r="J50" s="1276">
        <v>-1.625</v>
      </c>
      <c r="M50" s="1061"/>
    </row>
    <row r="51" spans="1:13" s="1057" customFormat="1" ht="15.75" thickBot="1">
      <c r="A51" s="1203"/>
      <c r="B51" s="1206"/>
      <c r="C51" s="1206"/>
      <c r="D51" s="1206"/>
      <c r="E51" s="1206"/>
      <c r="F51" s="1290"/>
      <c r="G51" s="1334"/>
      <c r="H51" s="1290"/>
      <c r="I51" s="1290"/>
      <c r="J51" s="1334"/>
      <c r="K51" s="1333"/>
      <c r="L51" s="1333"/>
      <c r="M51" s="1474"/>
    </row>
    <row r="52" spans="1:13" s="1057" customFormat="1" ht="15.75" thickBot="1">
      <c r="A52" s="1203"/>
      <c r="B52" s="1852" t="s">
        <v>763</v>
      </c>
      <c r="C52" s="1852"/>
      <c r="D52" s="1852"/>
      <c r="E52" s="1743" t="s">
        <v>329</v>
      </c>
      <c r="F52" s="1744"/>
      <c r="G52" s="1744"/>
      <c r="H52" s="1744"/>
      <c r="I52" s="1744"/>
      <c r="J52" s="1745"/>
      <c r="K52" s="1249"/>
      <c r="L52" s="1249"/>
      <c r="M52" s="1471"/>
    </row>
    <row r="53" spans="1:13" s="1057" customFormat="1" ht="15.75" thickBot="1">
      <c r="A53" s="1203"/>
      <c r="B53" s="1708"/>
      <c r="C53" s="1709"/>
      <c r="D53" s="1709"/>
      <c r="E53" s="1332" t="s">
        <v>15</v>
      </c>
      <c r="F53" s="1331" t="s">
        <v>16</v>
      </c>
      <c r="G53" s="1330" t="s">
        <v>17</v>
      </c>
      <c r="H53" s="1329" t="s">
        <v>18</v>
      </c>
      <c r="I53" s="1328" t="s">
        <v>19</v>
      </c>
      <c r="J53" s="1327" t="s">
        <v>20</v>
      </c>
      <c r="M53" s="1061"/>
    </row>
    <row r="54" spans="1:13" s="1057" customFormat="1" ht="15.75" thickBot="1">
      <c r="A54" s="1203"/>
      <c r="B54" s="1222" t="s">
        <v>72</v>
      </c>
      <c r="C54" s="1708" t="s">
        <v>73</v>
      </c>
      <c r="D54" s="1710"/>
      <c r="E54" s="1219">
        <v>-0.25</v>
      </c>
      <c r="F54" s="1218">
        <v>-0.25</v>
      </c>
      <c r="G54" s="1218">
        <v>-0.25</v>
      </c>
      <c r="H54" s="1218">
        <v>-0.375</v>
      </c>
      <c r="I54" s="1218">
        <v>-0.5</v>
      </c>
      <c r="J54" s="1217">
        <v>-0.5</v>
      </c>
      <c r="M54" s="1061"/>
    </row>
    <row r="55" spans="1:13" s="1057" customFormat="1">
      <c r="A55" s="1203"/>
      <c r="B55" s="1788" t="s">
        <v>47</v>
      </c>
      <c r="C55" s="1717" t="s">
        <v>481</v>
      </c>
      <c r="D55" s="1719"/>
      <c r="E55" s="1216">
        <v>-0.25</v>
      </c>
      <c r="F55" s="1215">
        <v>-0.25</v>
      </c>
      <c r="G55" s="1215">
        <v>-0.25</v>
      </c>
      <c r="H55" s="1215">
        <v>-0.25</v>
      </c>
      <c r="I55" s="1215">
        <v>-0.25</v>
      </c>
      <c r="J55" s="1214">
        <v>-0.25</v>
      </c>
      <c r="M55" s="1061"/>
    </row>
    <row r="56" spans="1:13" s="1057" customFormat="1">
      <c r="A56" s="1203"/>
      <c r="B56" s="1749"/>
      <c r="C56" s="1714" t="s">
        <v>132</v>
      </c>
      <c r="D56" s="1716"/>
      <c r="E56" s="1216">
        <v>0</v>
      </c>
      <c r="F56" s="1215">
        <v>0</v>
      </c>
      <c r="G56" s="1215">
        <v>0</v>
      </c>
      <c r="H56" s="1215">
        <v>0</v>
      </c>
      <c r="I56" s="1215">
        <v>0</v>
      </c>
      <c r="J56" s="1214">
        <v>0</v>
      </c>
      <c r="M56" s="1061"/>
    </row>
    <row r="57" spans="1:13" s="1057" customFormat="1">
      <c r="A57" s="1203"/>
      <c r="B57" s="1749"/>
      <c r="C57" s="1714" t="s">
        <v>133</v>
      </c>
      <c r="D57" s="1716"/>
      <c r="E57" s="1216">
        <v>0</v>
      </c>
      <c r="F57" s="1215">
        <v>0</v>
      </c>
      <c r="G57" s="1215">
        <v>0</v>
      </c>
      <c r="H57" s="1215">
        <v>0</v>
      </c>
      <c r="I57" s="1215">
        <v>0</v>
      </c>
      <c r="J57" s="1214">
        <v>0</v>
      </c>
      <c r="M57" s="1061"/>
    </row>
    <row r="58" spans="1:13" s="1057" customFormat="1">
      <c r="A58" s="1203"/>
      <c r="B58" s="1749"/>
      <c r="C58" s="1714" t="s">
        <v>134</v>
      </c>
      <c r="D58" s="1716"/>
      <c r="E58" s="1216">
        <v>0</v>
      </c>
      <c r="F58" s="1215">
        <v>0</v>
      </c>
      <c r="G58" s="1215">
        <v>0</v>
      </c>
      <c r="H58" s="1215">
        <v>0</v>
      </c>
      <c r="I58" s="1215">
        <v>0</v>
      </c>
      <c r="J58" s="1214" t="s">
        <v>14</v>
      </c>
      <c r="M58" s="1061"/>
    </row>
    <row r="59" spans="1:13" s="1057" customFormat="1">
      <c r="A59" s="1203"/>
      <c r="B59" s="1749"/>
      <c r="C59" s="1714" t="s">
        <v>135</v>
      </c>
      <c r="D59" s="1716"/>
      <c r="E59" s="1216">
        <v>-0.25</v>
      </c>
      <c r="F59" s="1215">
        <v>-0.25</v>
      </c>
      <c r="G59" s="1215">
        <v>-0.25</v>
      </c>
      <c r="H59" s="1215">
        <v>-0.25</v>
      </c>
      <c r="I59" s="1215" t="s">
        <v>14</v>
      </c>
      <c r="J59" s="1214" t="s">
        <v>14</v>
      </c>
      <c r="M59" s="1061"/>
    </row>
    <row r="60" spans="1:13" s="1057" customFormat="1">
      <c r="A60" s="1203"/>
      <c r="B60" s="1749"/>
      <c r="C60" s="1714" t="s">
        <v>136</v>
      </c>
      <c r="D60" s="1716"/>
      <c r="E60" s="1216">
        <v>-0.5</v>
      </c>
      <c r="F60" s="1215">
        <v>-0.5</v>
      </c>
      <c r="G60" s="1215">
        <v>-0.5</v>
      </c>
      <c r="H60" s="1215">
        <v>-0.5</v>
      </c>
      <c r="I60" s="1215" t="s">
        <v>14</v>
      </c>
      <c r="J60" s="1214" t="s">
        <v>14</v>
      </c>
      <c r="M60" s="1061"/>
    </row>
    <row r="61" spans="1:13" s="1057" customFormat="1" ht="15.75" thickBot="1">
      <c r="A61" s="1203"/>
      <c r="B61" s="1789"/>
      <c r="C61" s="1711" t="s">
        <v>137</v>
      </c>
      <c r="D61" s="1713"/>
      <c r="E61" s="1216">
        <v>-1</v>
      </c>
      <c r="F61" s="1215">
        <v>-1</v>
      </c>
      <c r="G61" s="1215">
        <v>-1</v>
      </c>
      <c r="H61" s="1215">
        <v>-1.5</v>
      </c>
      <c r="I61" s="1215" t="s">
        <v>14</v>
      </c>
      <c r="J61" s="1214" t="s">
        <v>14</v>
      </c>
      <c r="M61" s="1061"/>
    </row>
    <row r="62" spans="1:13" s="1057" customFormat="1" ht="15.75" thickBot="1">
      <c r="A62" s="1203"/>
      <c r="B62" s="1426" t="s">
        <v>56</v>
      </c>
      <c r="C62" s="1708" t="s">
        <v>604</v>
      </c>
      <c r="D62" s="1710"/>
      <c r="E62" s="1213">
        <v>-0.375</v>
      </c>
      <c r="F62" s="1212">
        <v>-0.375</v>
      </c>
      <c r="G62" s="1212">
        <v>-0.375</v>
      </c>
      <c r="H62" s="1212">
        <v>-0.5</v>
      </c>
      <c r="I62" s="1212" t="s">
        <v>14</v>
      </c>
      <c r="J62" s="1211" t="s">
        <v>14</v>
      </c>
      <c r="M62" s="1061"/>
    </row>
    <row r="63" spans="1:13" s="1057" customFormat="1" ht="15.75" thickBot="1">
      <c r="A63" s="1203"/>
      <c r="B63" s="1222" t="s">
        <v>62</v>
      </c>
      <c r="C63" s="1708" t="s">
        <v>169</v>
      </c>
      <c r="D63" s="1710"/>
      <c r="E63" s="1219">
        <v>-0.5</v>
      </c>
      <c r="F63" s="1218">
        <v>-0.5</v>
      </c>
      <c r="G63" s="1218">
        <v>-0.5</v>
      </c>
      <c r="H63" s="1218">
        <v>-0.5</v>
      </c>
      <c r="I63" s="1218">
        <v>-0.5</v>
      </c>
      <c r="J63" s="1217">
        <v>-0.5</v>
      </c>
      <c r="M63" s="1061"/>
    </row>
    <row r="64" spans="1:13" s="1057" customFormat="1" ht="15.75" thickBot="1">
      <c r="A64" s="1203"/>
      <c r="B64" s="1222" t="s">
        <v>65</v>
      </c>
      <c r="C64" s="1708" t="s">
        <v>665</v>
      </c>
      <c r="D64" s="1710"/>
      <c r="E64" s="1219">
        <v>-0.5</v>
      </c>
      <c r="F64" s="1218">
        <v>-0.5</v>
      </c>
      <c r="G64" s="1218">
        <v>-0.5</v>
      </c>
      <c r="H64" s="1218">
        <v>-0.5</v>
      </c>
      <c r="I64" s="1218">
        <v>-0.625</v>
      </c>
      <c r="J64" s="1217">
        <v>-0.75</v>
      </c>
      <c r="M64" s="1061"/>
    </row>
    <row r="65" spans="1:13" s="1057" customFormat="1" ht="15" customHeight="1">
      <c r="A65" s="1203"/>
      <c r="B65" s="1746" t="s">
        <v>631</v>
      </c>
      <c r="C65" s="1718" t="s">
        <v>99</v>
      </c>
      <c r="D65" s="1719"/>
      <c r="E65" s="1213">
        <v>0.75</v>
      </c>
      <c r="F65" s="1212">
        <v>0.75</v>
      </c>
      <c r="G65" s="1212">
        <v>0.75</v>
      </c>
      <c r="H65" s="1212">
        <v>0.75</v>
      </c>
      <c r="I65" s="1212">
        <v>1</v>
      </c>
      <c r="J65" s="1211">
        <v>1.25</v>
      </c>
      <c r="M65" s="1061"/>
    </row>
    <row r="66" spans="1:13" s="1057" customFormat="1">
      <c r="A66" s="1203"/>
      <c r="B66" s="1747"/>
      <c r="C66" s="1715" t="s">
        <v>100</v>
      </c>
      <c r="D66" s="1716"/>
      <c r="E66" s="1216">
        <v>0.625</v>
      </c>
      <c r="F66" s="1215">
        <v>0.625</v>
      </c>
      <c r="G66" s="1215">
        <v>0.625</v>
      </c>
      <c r="H66" s="1215">
        <v>0.625</v>
      </c>
      <c r="I66" s="1215">
        <v>0.75</v>
      </c>
      <c r="J66" s="1214">
        <v>1</v>
      </c>
      <c r="M66" s="1061"/>
    </row>
    <row r="67" spans="1:13" s="1057" customFormat="1">
      <c r="A67" s="1203"/>
      <c r="B67" s="1747"/>
      <c r="C67" s="1715" t="s">
        <v>7</v>
      </c>
      <c r="D67" s="1716"/>
      <c r="E67" s="1216">
        <v>0.125</v>
      </c>
      <c r="F67" s="1215">
        <v>0.125</v>
      </c>
      <c r="G67" s="1215">
        <v>0.125</v>
      </c>
      <c r="H67" s="1215">
        <v>0.125</v>
      </c>
      <c r="I67" s="1215">
        <v>0.125</v>
      </c>
      <c r="J67" s="1214">
        <v>0.125</v>
      </c>
      <c r="M67" s="1061"/>
    </row>
    <row r="68" spans="1:13" s="1057" customFormat="1">
      <c r="A68" s="1203"/>
      <c r="B68" s="1747"/>
      <c r="C68" s="1715" t="s">
        <v>9</v>
      </c>
      <c r="D68" s="1716"/>
      <c r="E68" s="1216">
        <v>-0.5</v>
      </c>
      <c r="F68" s="1215">
        <v>-0.5</v>
      </c>
      <c r="G68" s="1215">
        <v>-0.5</v>
      </c>
      <c r="H68" s="1215">
        <v>-0.5</v>
      </c>
      <c r="I68" s="1215">
        <v>-0.5</v>
      </c>
      <c r="J68" s="1214">
        <v>-0.5</v>
      </c>
      <c r="M68" s="1061"/>
    </row>
    <row r="69" spans="1:13" s="1057" customFormat="1">
      <c r="A69" s="1203"/>
      <c r="B69" s="1747"/>
      <c r="C69" s="1715" t="s">
        <v>11</v>
      </c>
      <c r="D69" s="1716"/>
      <c r="E69" s="1216">
        <v>-1.6250000000000002</v>
      </c>
      <c r="F69" s="1215">
        <v>-1.6250000000000002</v>
      </c>
      <c r="G69" s="1215">
        <v>-1.6250000000000002</v>
      </c>
      <c r="H69" s="1215">
        <v>-1.6250000000000002</v>
      </c>
      <c r="I69" s="1215">
        <v>-1.6250000000000002</v>
      </c>
      <c r="J69" s="1214">
        <v>-1.6250000000000002</v>
      </c>
      <c r="M69" s="1061"/>
    </row>
    <row r="70" spans="1:13" s="1057" customFormat="1" ht="15.75" thickBot="1">
      <c r="A70" s="1203"/>
      <c r="B70" s="1748"/>
      <c r="C70" s="1712" t="s">
        <v>101</v>
      </c>
      <c r="D70" s="1713"/>
      <c r="E70" s="1209">
        <v>-2.25</v>
      </c>
      <c r="F70" s="1208">
        <v>-2.25</v>
      </c>
      <c r="G70" s="1208">
        <v>-2.25</v>
      </c>
      <c r="H70" s="1208">
        <v>-2.25</v>
      </c>
      <c r="I70" s="1208">
        <v>-2.25</v>
      </c>
      <c r="J70" s="1207">
        <v>-2.25</v>
      </c>
      <c r="M70" s="1061"/>
    </row>
    <row r="71" spans="1:13" s="1057" customFormat="1" ht="15.75" thickBot="1">
      <c r="A71" s="1203"/>
      <c r="B71" s="1788" t="s">
        <v>68</v>
      </c>
      <c r="C71" s="1708" t="s">
        <v>69</v>
      </c>
      <c r="D71" s="1710"/>
      <c r="E71" s="1219">
        <v>-0.25</v>
      </c>
      <c r="F71" s="1218">
        <v>-0.25</v>
      </c>
      <c r="G71" s="1218">
        <v>-0.25</v>
      </c>
      <c r="H71" s="1218">
        <v>-0.25</v>
      </c>
      <c r="I71" s="1218">
        <v>-0.25</v>
      </c>
      <c r="J71" s="1217">
        <v>-0.25</v>
      </c>
      <c r="M71" s="1061"/>
    </row>
    <row r="72" spans="1:13" s="1057" customFormat="1" ht="15.75" thickBot="1">
      <c r="A72" s="1203"/>
      <c r="B72" s="1789"/>
      <c r="C72" s="1708" t="s">
        <v>172</v>
      </c>
      <c r="D72" s="1710"/>
      <c r="E72" s="1219">
        <v>-0.25</v>
      </c>
      <c r="F72" s="1218">
        <v>-0.25</v>
      </c>
      <c r="G72" s="1218">
        <v>-0.25</v>
      </c>
      <c r="H72" s="1218">
        <v>-0.25</v>
      </c>
      <c r="I72" s="1218">
        <v>-0.25</v>
      </c>
      <c r="J72" s="1217">
        <v>-0.25</v>
      </c>
      <c r="M72" s="1061"/>
    </row>
    <row r="73" spans="1:13" s="1057" customFormat="1" ht="15" customHeight="1">
      <c r="A73" s="1203"/>
      <c r="C73" s="1271"/>
      <c r="D73" s="1271"/>
      <c r="E73" s="1271"/>
      <c r="F73" s="1279"/>
      <c r="G73" s="1325"/>
      <c r="H73" s="1279"/>
      <c r="I73" s="1279"/>
      <c r="J73" s="1325"/>
      <c r="K73" s="1325"/>
      <c r="L73" s="1325"/>
      <c r="M73" s="1434"/>
    </row>
    <row r="74" spans="1:13" s="1057" customFormat="1">
      <c r="A74" s="1203"/>
      <c r="C74" s="1271"/>
      <c r="D74" s="1271"/>
      <c r="E74" s="1271"/>
      <c r="F74" s="1279"/>
      <c r="G74" s="1325"/>
      <c r="H74" s="1279"/>
      <c r="I74" s="1279"/>
      <c r="J74" s="1325"/>
      <c r="K74" s="1325"/>
      <c r="L74" s="1325"/>
      <c r="M74" s="1434"/>
    </row>
    <row r="75" spans="1:13" s="1057" customFormat="1">
      <c r="A75" s="1203"/>
      <c r="C75" s="1271"/>
      <c r="D75" s="1271"/>
      <c r="E75" s="1271"/>
      <c r="F75" s="1279"/>
      <c r="G75" s="1325"/>
      <c r="H75" s="1279"/>
      <c r="I75" s="1279"/>
      <c r="J75" s="1325"/>
      <c r="K75" s="1325"/>
      <c r="L75" s="1325"/>
      <c r="M75" s="1434"/>
    </row>
    <row r="76" spans="1:13" s="1057" customFormat="1">
      <c r="A76" s="1203"/>
      <c r="C76" s="1271"/>
      <c r="D76" s="1271"/>
      <c r="E76" s="1271"/>
      <c r="F76" s="1279"/>
      <c r="G76" s="1325"/>
      <c r="H76" s="1279"/>
      <c r="I76" s="1279"/>
      <c r="J76" s="1325"/>
      <c r="K76" s="1325"/>
      <c r="L76" s="1325"/>
      <c r="M76" s="1434"/>
    </row>
    <row r="77" spans="1:13" s="1057" customFormat="1" ht="15" customHeight="1">
      <c r="A77" s="1203"/>
      <c r="C77" s="1271"/>
      <c r="D77" s="1271"/>
      <c r="E77" s="1271"/>
      <c r="F77" s="1325"/>
      <c r="G77" s="1325"/>
      <c r="H77" s="1279"/>
      <c r="I77" s="1325"/>
      <c r="J77" s="1325"/>
      <c r="K77" s="1279"/>
      <c r="L77" s="1279"/>
      <c r="M77" s="1434"/>
    </row>
    <row r="78" spans="1:13" s="1057" customFormat="1">
      <c r="A78" s="1203"/>
      <c r="B78" s="1326"/>
      <c r="C78" s="1271"/>
      <c r="D78" s="1271"/>
      <c r="E78" s="1271"/>
      <c r="F78" s="1325"/>
      <c r="G78" s="1279"/>
      <c r="H78" s="1325"/>
      <c r="I78" s="1325"/>
      <c r="J78" s="1279"/>
      <c r="K78" s="1279"/>
      <c r="L78" s="1279"/>
      <c r="M78" s="1434"/>
    </row>
    <row r="79" spans="1:13" s="1057" customFormat="1">
      <c r="A79" s="1203"/>
      <c r="B79" s="1326"/>
      <c r="C79" s="1271"/>
      <c r="D79" s="1271"/>
      <c r="E79" s="1271"/>
      <c r="F79" s="1325"/>
      <c r="G79" s="1279"/>
      <c r="H79" s="1325"/>
      <c r="I79" s="1325"/>
      <c r="J79" s="1279"/>
      <c r="K79" s="1279"/>
      <c r="L79" s="1279"/>
      <c r="M79" s="1434"/>
    </row>
    <row r="80" spans="1:13" s="1057" customFormat="1">
      <c r="A80" s="1203"/>
      <c r="B80" s="1326"/>
      <c r="C80" s="1271"/>
      <c r="D80" s="1271"/>
      <c r="E80" s="1271"/>
      <c r="F80" s="1325"/>
      <c r="G80" s="1279"/>
      <c r="H80" s="1325"/>
      <c r="I80" s="1325"/>
      <c r="J80" s="1279"/>
      <c r="K80" s="1279"/>
      <c r="L80" s="1279"/>
      <c r="M80" s="1434"/>
    </row>
    <row r="81" spans="1:13" s="1057" customFormat="1">
      <c r="A81" s="1203"/>
      <c r="B81" s="1326"/>
      <c r="C81" s="1271"/>
      <c r="D81" s="1271"/>
      <c r="E81" s="1271"/>
      <c r="F81" s="1325"/>
      <c r="G81" s="1325"/>
      <c r="H81" s="1279"/>
      <c r="I81" s="1325"/>
      <c r="J81" s="1325"/>
      <c r="K81" s="1279"/>
      <c r="L81" s="1279"/>
      <c r="M81" s="1434"/>
    </row>
    <row r="82" spans="1:13" s="1057" customFormat="1">
      <c r="A82" s="1203"/>
      <c r="B82" s="1206" t="s">
        <v>630</v>
      </c>
      <c r="C82" s="1271"/>
      <c r="D82" s="1271"/>
      <c r="E82" s="1271"/>
      <c r="F82" s="1325"/>
      <c r="G82" s="1325"/>
      <c r="H82" s="1279"/>
      <c r="I82" s="1325"/>
      <c r="J82" s="1325"/>
      <c r="K82" s="1279"/>
      <c r="L82" s="1279"/>
      <c r="M82" s="1434"/>
    </row>
    <row r="83" spans="1:13" s="1057" customFormat="1">
      <c r="A83" s="1203"/>
      <c r="B83" s="1206"/>
      <c r="C83" s="1271"/>
      <c r="D83" s="1271"/>
      <c r="E83" s="1271"/>
      <c r="F83" s="1279"/>
      <c r="G83" s="1325"/>
      <c r="H83" s="1279"/>
      <c r="I83" s="1279"/>
      <c r="J83" s="1325"/>
      <c r="K83" s="1325"/>
      <c r="L83" s="1325"/>
      <c r="M83" s="1434"/>
    </row>
    <row r="84" spans="1:13" s="1057" customFormat="1">
      <c r="A84" s="1203"/>
      <c r="B84" s="1206"/>
      <c r="C84" s="1271"/>
      <c r="D84" s="1271"/>
      <c r="E84" s="1271"/>
      <c r="F84" s="1279"/>
      <c r="G84" s="1325"/>
      <c r="H84" s="1279"/>
      <c r="I84" s="1279"/>
      <c r="J84" s="1325"/>
      <c r="K84" s="1325"/>
      <c r="L84" s="1325"/>
      <c r="M84" s="1434"/>
    </row>
    <row r="85" spans="1:13" s="1057" customFormat="1">
      <c r="A85" s="1203"/>
      <c r="B85" s="1206"/>
      <c r="C85" s="1271"/>
      <c r="D85" s="1271"/>
      <c r="E85" s="1271"/>
      <c r="F85" s="1279"/>
      <c r="G85" s="1325"/>
      <c r="H85" s="1279"/>
      <c r="I85" s="1279"/>
      <c r="J85" s="1325"/>
      <c r="K85" s="1325"/>
      <c r="L85" s="1325"/>
      <c r="M85" s="1434"/>
    </row>
    <row r="86" spans="1:13" s="1057" customFormat="1">
      <c r="A86" s="1203"/>
      <c r="B86" s="1206" t="s">
        <v>68</v>
      </c>
      <c r="D86" s="1271"/>
      <c r="E86" s="1271"/>
      <c r="F86" s="1279"/>
      <c r="G86" s="1325"/>
      <c r="H86" s="1279"/>
      <c r="I86" s="1279"/>
      <c r="J86" s="1325"/>
      <c r="K86" s="1325"/>
      <c r="L86" s="1325"/>
      <c r="M86" s="1434"/>
    </row>
    <row r="87" spans="1:13" s="1057" customFormat="1">
      <c r="A87" s="1203"/>
      <c r="B87" s="1206"/>
      <c r="D87" s="1271"/>
      <c r="E87" s="1271"/>
      <c r="F87" s="1279"/>
      <c r="G87" s="1325"/>
      <c r="H87" s="1279"/>
      <c r="I87" s="1279"/>
      <c r="J87" s="1325"/>
      <c r="K87" s="1325"/>
      <c r="L87" s="1325"/>
      <c r="M87" s="1434"/>
    </row>
    <row r="88" spans="1:13" s="1057" customFormat="1">
      <c r="A88" s="1203"/>
      <c r="B88" s="1291" t="s">
        <v>138</v>
      </c>
      <c r="C88" s="1271"/>
      <c r="D88" s="1271"/>
      <c r="E88" s="1271"/>
      <c r="F88" s="1289"/>
      <c r="G88" s="1289"/>
      <c r="H88" s="1289"/>
      <c r="I88" s="1289"/>
      <c r="J88" s="1289"/>
      <c r="K88" s="1289"/>
      <c r="L88" s="1289"/>
      <c r="M88" s="1475"/>
    </row>
    <row r="89" spans="1:13" s="1057" customFormat="1">
      <c r="A89" s="1203"/>
      <c r="B89" s="1272"/>
      <c r="C89" s="1271"/>
      <c r="D89" s="1271"/>
      <c r="E89" s="1271"/>
      <c r="F89" s="1271"/>
      <c r="G89" s="1271"/>
      <c r="H89" s="1271"/>
      <c r="I89" s="1271"/>
      <c r="J89" s="1271"/>
      <c r="K89" s="1271"/>
      <c r="L89" s="1271"/>
      <c r="M89" s="1476"/>
    </row>
    <row r="90" spans="1:13" s="1057" customFormat="1">
      <c r="A90" s="1203"/>
      <c r="M90" s="1061"/>
    </row>
    <row r="91" spans="1:13" s="1057" customFormat="1">
      <c r="A91" s="1203"/>
      <c r="M91" s="1061"/>
    </row>
    <row r="92" spans="1:13" s="1057" customFormat="1">
      <c r="A92" s="1203"/>
      <c r="M92" s="1061"/>
    </row>
    <row r="93" spans="1:13" s="1057" customFormat="1">
      <c r="A93" s="1203"/>
      <c r="M93" s="1061"/>
    </row>
    <row r="94" spans="1:13" s="1057" customFormat="1">
      <c r="A94" s="1203"/>
      <c r="M94" s="1061"/>
    </row>
    <row r="95" spans="1:13" s="1057" customFormat="1">
      <c r="A95" s="1203"/>
      <c r="M95" s="1061"/>
    </row>
    <row r="96" spans="1:13" s="1057" customFormat="1">
      <c r="A96" s="1203"/>
      <c r="M96" s="1061"/>
    </row>
    <row r="97" spans="1:13" s="1057" customFormat="1">
      <c r="A97" s="1203"/>
      <c r="M97" s="1061"/>
    </row>
    <row r="98" spans="1:13" s="1057" customFormat="1" ht="15" customHeight="1">
      <c r="A98" s="1203"/>
      <c r="M98" s="1061"/>
    </row>
    <row r="99" spans="1:13" s="1057" customFormat="1" ht="15" customHeight="1">
      <c r="A99" s="1203"/>
      <c r="M99" s="1061"/>
    </row>
    <row r="100" spans="1:13" s="1057" customFormat="1" ht="15" customHeight="1">
      <c r="A100" s="1203"/>
      <c r="M100" s="1061"/>
    </row>
    <row r="101" spans="1:13" s="1057" customFormat="1" ht="15" customHeight="1">
      <c r="A101" s="1203"/>
      <c r="M101" s="1061"/>
    </row>
    <row r="102" spans="1:13" s="1057" customFormat="1" ht="15" customHeight="1">
      <c r="A102" s="1203"/>
      <c r="M102" s="1061"/>
    </row>
    <row r="103" spans="1:13" s="1057" customFormat="1" ht="15" customHeight="1">
      <c r="A103" s="1203"/>
      <c r="M103" s="1061"/>
    </row>
    <row r="104" spans="1:13" s="1057" customFormat="1">
      <c r="A104" s="1203"/>
      <c r="M104" s="1061"/>
    </row>
    <row r="105" spans="1:13" s="1057" customFormat="1">
      <c r="A105" s="1203"/>
      <c r="M105" s="1061"/>
    </row>
    <row r="106" spans="1:13" s="1057" customFormat="1">
      <c r="A106" s="1203"/>
      <c r="M106" s="1061"/>
    </row>
    <row r="107" spans="1:13" s="1057" customFormat="1">
      <c r="A107" s="1203"/>
      <c r="M107" s="1061"/>
    </row>
    <row r="108" spans="1:13" s="1057" customFormat="1">
      <c r="A108" s="1203"/>
      <c r="G108" s="1202"/>
      <c r="H108" s="1201"/>
      <c r="M108" s="1061"/>
    </row>
    <row r="109" spans="1:13" s="1057" customFormat="1">
      <c r="A109" s="1203"/>
      <c r="G109" s="1202"/>
      <c r="H109" s="1201"/>
      <c r="M109" s="1061"/>
    </row>
    <row r="110" spans="1:13" s="1057" customFormat="1">
      <c r="A110" s="1203"/>
      <c r="G110" s="1202"/>
      <c r="H110" s="1201"/>
      <c r="M110" s="1061"/>
    </row>
    <row r="111" spans="1:13" s="1057" customFormat="1">
      <c r="A111" s="1203"/>
      <c r="G111" s="1202"/>
      <c r="H111" s="1201"/>
      <c r="M111" s="1061"/>
    </row>
    <row r="112" spans="1:13" s="1057" customFormat="1">
      <c r="A112" s="1203"/>
      <c r="G112" s="1202"/>
      <c r="H112" s="1201"/>
      <c r="M112" s="1061"/>
    </row>
    <row r="113" spans="1:13" s="1057" customFormat="1">
      <c r="A113" s="1203"/>
      <c r="M113" s="1061"/>
    </row>
    <row r="114" spans="1:13" s="1057" customFormat="1">
      <c r="A114" s="1203"/>
      <c r="M114" s="1061"/>
    </row>
    <row r="115" spans="1:13" s="1057" customFormat="1">
      <c r="A115" s="1203"/>
      <c r="M115" s="1061"/>
    </row>
    <row r="116" spans="1:13" s="1057" customFormat="1">
      <c r="A116" s="1203"/>
      <c r="M116" s="1061"/>
    </row>
    <row r="117" spans="1:13" s="1057" customFormat="1">
      <c r="A117" s="1203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 ht="15.75" thickBot="1">
      <c r="A120" s="1270"/>
      <c r="M120" s="1061"/>
    </row>
    <row r="121" spans="1:13" s="1057" customFormat="1" ht="15" customHeight="1">
      <c r="A121" s="1066"/>
      <c r="B121" s="1816" t="s">
        <v>192</v>
      </c>
      <c r="C121" s="1816"/>
      <c r="D121" s="1816"/>
      <c r="E121" s="1816"/>
      <c r="F121" s="1816"/>
      <c r="G121" s="1816"/>
      <c r="H121" s="1816"/>
      <c r="I121" s="1816"/>
      <c r="J121" s="1816"/>
      <c r="K121" s="1816"/>
      <c r="L121" s="1816"/>
      <c r="M121" s="1849"/>
    </row>
    <row r="122" spans="1:13" s="1057" customFormat="1">
      <c r="A122" s="1063"/>
      <c r="B122" s="1817"/>
      <c r="C122" s="1817"/>
      <c r="D122" s="1817"/>
      <c r="E122" s="1817"/>
      <c r="F122" s="1817"/>
      <c r="G122" s="1817"/>
      <c r="H122" s="1817"/>
      <c r="I122" s="1817"/>
      <c r="J122" s="1817"/>
      <c r="K122" s="1817"/>
      <c r="L122" s="1817"/>
      <c r="M122" s="1850"/>
    </row>
    <row r="123" spans="1:13" s="1057" customFormat="1">
      <c r="A123" s="1063"/>
      <c r="B123" s="1817"/>
      <c r="C123" s="1817"/>
      <c r="D123" s="1817"/>
      <c r="E123" s="1817"/>
      <c r="F123" s="1817"/>
      <c r="G123" s="1817"/>
      <c r="H123" s="1817"/>
      <c r="I123" s="1817"/>
      <c r="J123" s="1817"/>
      <c r="K123" s="1817"/>
      <c r="L123" s="1817"/>
      <c r="M123" s="1850"/>
    </row>
    <row r="124" spans="1:13" s="1057" customFormat="1" ht="15.75" thickBot="1">
      <c r="A124" s="1060"/>
      <c r="B124" s="1818"/>
      <c r="C124" s="1818"/>
      <c r="D124" s="1818"/>
      <c r="E124" s="1818"/>
      <c r="F124" s="1818"/>
      <c r="G124" s="1818"/>
      <c r="H124" s="1818"/>
      <c r="I124" s="1818"/>
      <c r="J124" s="1818"/>
      <c r="K124" s="1818"/>
      <c r="L124" s="1818"/>
      <c r="M124" s="1851"/>
    </row>
  </sheetData>
  <mergeCells count="48"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</mergeCells>
  <dataValidations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33C3328-AF79-4DFF-AB0B-76C497E164C3}">
          <x14:formula1>
            <xm:f>margins!$A$152:$A$153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margins!$A$180:$A$181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margins!$A$144:$A$150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margins!$N$165:$N$167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margins!$Z$110:$Z$114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margins!$Z$128:$Z$135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margins!$Z$116:$Z$117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margins!$Z$125:$Z$126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margins!$Z$122:$Z$123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margins!$Z$137:$Z$138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margins!$Z$119:$Z$120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31" zoomScaleNormal="130" workbookViewId="0">
      <selection activeCell="W71" sqref="W71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2"/>
      <c r="B2" s="1643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342"/>
      <c r="P2" s="343"/>
    </row>
    <row r="3" spans="1:16" ht="9.9499999999999993" customHeight="1">
      <c r="A3" s="1645"/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6"/>
      <c r="D6" s="1646"/>
      <c r="E6" s="1646"/>
      <c r="F6" s="1646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7"/>
      <c r="D7" s="1647"/>
      <c r="E7" s="1647"/>
      <c r="F7" s="1647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8"/>
      <c r="D8" s="1648"/>
      <c r="E8" s="1648"/>
      <c r="F8" s="1648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9" t="s">
        <v>361</v>
      </c>
      <c r="G9" s="1649"/>
      <c r="H9" s="1650">
        <v>45978</v>
      </c>
      <c r="I9" s="1650"/>
      <c r="J9" s="1650"/>
      <c r="K9" s="1650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1"/>
      <c r="D10" s="1651"/>
      <c r="E10" s="1651"/>
      <c r="F10" s="1651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2" t="s">
        <v>371</v>
      </c>
      <c r="C12" s="1652"/>
      <c r="D12" s="1652"/>
      <c r="E12" s="1652"/>
      <c r="F12" s="1652"/>
      <c r="G12" s="1652"/>
      <c r="H12" s="1652"/>
      <c r="I12" s="1652"/>
      <c r="J12" s="1652"/>
      <c r="K12" s="1652"/>
      <c r="L12" s="1652"/>
      <c r="M12" s="1652"/>
      <c r="N12" s="1652"/>
      <c r="O12" s="1652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3" t="s">
        <v>173</v>
      </c>
      <c r="C14" s="1654"/>
      <c r="D14" s="1654"/>
      <c r="E14" s="1654"/>
      <c r="F14" s="1654"/>
      <c r="G14" s="1655"/>
      <c r="H14" s="368"/>
      <c r="I14" s="1653" t="s">
        <v>174</v>
      </c>
      <c r="J14" s="1654"/>
      <c r="K14" s="1654"/>
      <c r="L14" s="1654"/>
      <c r="M14" s="1654"/>
      <c r="N14" s="1654"/>
      <c r="O14" s="1655"/>
      <c r="P14" s="369"/>
    </row>
    <row r="15" spans="1:16" ht="9.9499999999999993" customHeight="1">
      <c r="A15" s="367"/>
      <c r="B15" s="1656"/>
      <c r="C15" s="1657"/>
      <c r="D15" s="1657"/>
      <c r="E15" s="1657"/>
      <c r="F15" s="1657"/>
      <c r="G15" s="1658"/>
      <c r="H15" s="368"/>
      <c r="I15" s="1656"/>
      <c r="J15" s="1657"/>
      <c r="K15" s="1657"/>
      <c r="L15" s="1657"/>
      <c r="M15" s="1657"/>
      <c r="N15" s="1657"/>
      <c r="O15" s="1658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9" t="s">
        <v>284</v>
      </c>
      <c r="K16" s="1660"/>
      <c r="L16" s="1660"/>
      <c r="M16" s="1661"/>
      <c r="N16" s="166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60"/>
      <c r="K17" s="1660"/>
      <c r="L17" s="1660"/>
      <c r="M17" s="1661"/>
      <c r="N17" s="166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60"/>
      <c r="K18" s="1660"/>
      <c r="L18" s="1660"/>
      <c r="M18" s="1661"/>
      <c r="N18" s="1662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660"/>
      <c r="K19" s="1660"/>
      <c r="L19" s="1660"/>
      <c r="M19" s="1661"/>
      <c r="N19" s="166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60"/>
      <c r="K20" s="1660"/>
      <c r="L20" s="1660"/>
      <c r="M20" s="1661"/>
      <c r="N20" s="1662"/>
      <c r="O20" s="381"/>
      <c r="P20" s="369"/>
    </row>
    <row r="21" spans="1:17" ht="9.9499999999999993" customHeight="1">
      <c r="A21" s="370"/>
      <c r="B21" s="368"/>
      <c r="C21" s="409" t="s">
        <v>725</v>
      </c>
      <c r="D21" s="410"/>
      <c r="E21" s="386"/>
      <c r="F21" s="386"/>
      <c r="G21" s="381"/>
      <c r="H21" s="368"/>
      <c r="I21" s="376"/>
      <c r="J21" s="1660"/>
      <c r="K21" s="1660"/>
      <c r="L21" s="1660"/>
      <c r="M21" s="1661"/>
      <c r="N21" s="166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60"/>
      <c r="K22" s="1660"/>
      <c r="L22" s="1660"/>
      <c r="M22" s="1661"/>
      <c r="N22" s="166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3"/>
      <c r="K23" s="1663"/>
      <c r="L23" s="1663"/>
      <c r="M23" s="1664"/>
      <c r="N23" s="166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3" t="s">
        <v>181</v>
      </c>
      <c r="C25" s="1654"/>
      <c r="D25" s="1654"/>
      <c r="E25" s="1654"/>
      <c r="F25" s="1654"/>
      <c r="G25" s="1655"/>
      <c r="H25" s="391"/>
      <c r="I25" s="1653" t="s">
        <v>358</v>
      </c>
      <c r="J25" s="1654"/>
      <c r="K25" s="1654"/>
      <c r="L25" s="1654"/>
      <c r="M25" s="1654"/>
      <c r="N25" s="1654"/>
      <c r="O25" s="1655"/>
      <c r="P25" s="369"/>
    </row>
    <row r="26" spans="1:17" ht="9.9499999999999993" customHeight="1">
      <c r="A26" s="367"/>
      <c r="B26" s="1656"/>
      <c r="C26" s="1657"/>
      <c r="D26" s="1657"/>
      <c r="E26" s="1657"/>
      <c r="F26" s="1657"/>
      <c r="G26" s="1658"/>
      <c r="H26" s="391"/>
      <c r="I26" s="1656"/>
      <c r="J26" s="1657"/>
      <c r="K26" s="1657"/>
      <c r="L26" s="1657"/>
      <c r="M26" s="1657"/>
      <c r="N26" s="1657"/>
      <c r="O26" s="1658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6" t="s">
        <v>372</v>
      </c>
      <c r="D28" s="1667"/>
      <c r="E28" s="1667"/>
      <c r="F28" s="1667"/>
      <c r="G28" s="393"/>
      <c r="H28" s="368"/>
      <c r="I28" s="1668" t="s">
        <v>732</v>
      </c>
      <c r="J28" s="1669"/>
      <c r="K28" s="1669"/>
      <c r="L28" s="1669"/>
      <c r="M28" s="1669"/>
      <c r="N28" s="1669"/>
      <c r="O28" s="1670"/>
      <c r="P28" s="369"/>
    </row>
    <row r="29" spans="1:17" ht="11.25" customHeight="1">
      <c r="A29" s="367"/>
      <c r="B29" s="402"/>
      <c r="C29" s="666" t="s">
        <v>779</v>
      </c>
      <c r="D29" s="396"/>
      <c r="E29" s="396"/>
      <c r="F29" s="124"/>
      <c r="G29" s="125" t="s">
        <v>182</v>
      </c>
      <c r="H29" s="368"/>
      <c r="I29" s="1668"/>
      <c r="J29" s="1669"/>
      <c r="K29" s="1669"/>
      <c r="L29" s="1669"/>
      <c r="M29" s="1669"/>
      <c r="N29" s="1669"/>
      <c r="O29" s="1670"/>
      <c r="P29" s="369"/>
      <c r="Q29" s="493"/>
    </row>
    <row r="30" spans="1:17" ht="9.9499999999999993" customHeight="1">
      <c r="A30" s="367"/>
      <c r="B30" s="402"/>
      <c r="C30" s="666" t="s">
        <v>366</v>
      </c>
      <c r="D30" s="396"/>
      <c r="E30" s="396"/>
      <c r="F30" s="124"/>
      <c r="G30" s="125" t="s">
        <v>183</v>
      </c>
      <c r="H30" s="368"/>
      <c r="I30" s="419"/>
      <c r="J30" s="1671"/>
      <c r="K30" s="1671"/>
      <c r="L30" s="1671"/>
      <c r="M30" s="1671"/>
      <c r="N30" s="1671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2" t="s">
        <v>184</v>
      </c>
      <c r="F38" s="1673"/>
      <c r="G38" s="1673"/>
      <c r="H38" s="1673"/>
      <c r="I38" s="1673"/>
      <c r="J38" s="1673"/>
      <c r="K38" s="1673"/>
      <c r="L38" s="1673"/>
      <c r="O38" s="380"/>
      <c r="P38" s="369"/>
    </row>
    <row r="39" spans="1:16" ht="9.9499999999999993" customHeight="1">
      <c r="A39" s="367"/>
      <c r="B39" s="402"/>
      <c r="C39" s="439"/>
      <c r="D39" s="125"/>
      <c r="E39" s="1672"/>
      <c r="F39" s="1673"/>
      <c r="G39" s="1673"/>
      <c r="H39" s="1673"/>
      <c r="I39" s="1673"/>
      <c r="J39" s="1673"/>
      <c r="K39" s="1673"/>
      <c r="L39" s="1673"/>
      <c r="O39" s="380"/>
      <c r="P39" s="369"/>
    </row>
    <row r="40" spans="1:16" ht="9.9499999999999993" customHeight="1">
      <c r="A40" s="367"/>
      <c r="B40" s="402"/>
      <c r="C40" s="428"/>
      <c r="D40" s="125"/>
      <c r="E40" s="1674" t="s">
        <v>360</v>
      </c>
      <c r="F40" s="1675"/>
      <c r="G40" s="1675"/>
      <c r="H40" s="1675"/>
      <c r="I40" s="1675"/>
      <c r="J40" s="1675"/>
      <c r="K40" s="1675"/>
      <c r="L40" s="1676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9" t="s">
        <v>31</v>
      </c>
      <c r="F46" s="1690"/>
      <c r="G46" s="1690"/>
      <c r="H46" s="1690"/>
      <c r="I46" s="1690"/>
      <c r="J46" s="1690"/>
      <c r="K46" s="1690"/>
      <c r="L46" s="1691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2" t="s">
        <v>186</v>
      </c>
      <c r="C48" s="1693"/>
      <c r="D48" s="1693"/>
      <c r="E48" s="1693"/>
      <c r="F48" s="1693"/>
      <c r="G48" s="1693"/>
      <c r="H48" s="1693"/>
      <c r="I48" s="1693"/>
      <c r="J48" s="1693"/>
      <c r="K48" s="1693"/>
      <c r="L48" s="1693"/>
      <c r="M48" s="1693"/>
      <c r="N48" s="1693"/>
      <c r="O48" s="1694"/>
      <c r="P48" s="369"/>
    </row>
    <row r="49" spans="1:16" ht="9.9499999999999993" customHeight="1">
      <c r="A49" s="367"/>
      <c r="B49" s="1672"/>
      <c r="C49" s="1673"/>
      <c r="D49" s="1673"/>
      <c r="E49" s="1673"/>
      <c r="F49" s="1673"/>
      <c r="G49" s="1673"/>
      <c r="H49" s="1673"/>
      <c r="I49" s="1673"/>
      <c r="J49" s="1673"/>
      <c r="K49" s="1673"/>
      <c r="L49" s="1673"/>
      <c r="M49" s="1673"/>
      <c r="N49" s="1673"/>
      <c r="O49" s="1695"/>
      <c r="P49" s="369"/>
    </row>
    <row r="50" spans="1:16" ht="15">
      <c r="A50" s="367"/>
      <c r="B50" s="426"/>
      <c r="C50" s="36" t="s">
        <v>507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387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1"/>
      <c r="G55" s="1681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2"/>
      <c r="C57" s="1696"/>
      <c r="D57" s="1696"/>
      <c r="E57" s="1696"/>
      <c r="F57" s="1696"/>
      <c r="G57" s="1696"/>
      <c r="H57" s="1696"/>
      <c r="I57" s="1696"/>
      <c r="J57" s="1696"/>
      <c r="K57" s="1696"/>
      <c r="L57" s="1696"/>
      <c r="M57" s="1696"/>
      <c r="N57" s="1696"/>
      <c r="O57" s="1697"/>
      <c r="P57" s="395"/>
    </row>
    <row r="58" spans="1:16" ht="9.9499999999999993" customHeight="1">
      <c r="A58" s="394"/>
      <c r="B58" s="1698"/>
      <c r="C58" s="1699"/>
      <c r="D58" s="1699"/>
      <c r="E58" s="1699"/>
      <c r="F58" s="1699"/>
      <c r="G58" s="1699"/>
      <c r="H58" s="1699"/>
      <c r="I58" s="1699"/>
      <c r="J58" s="1699"/>
      <c r="K58" s="1699"/>
      <c r="L58" s="1699"/>
      <c r="M58" s="1699"/>
      <c r="N58" s="1699"/>
      <c r="O58" s="1700"/>
      <c r="P58" s="395"/>
    </row>
    <row r="59" spans="1:16" ht="9.9499999999999993" customHeight="1">
      <c r="A59" s="404"/>
      <c r="B59" s="1630"/>
      <c r="C59" s="1631"/>
      <c r="D59" s="1631"/>
      <c r="E59" s="1631"/>
      <c r="F59" s="1631"/>
      <c r="G59" s="1631"/>
      <c r="H59" s="1631"/>
      <c r="I59" s="1631"/>
      <c r="J59" s="1631"/>
      <c r="K59" s="1631"/>
      <c r="L59" s="1631"/>
      <c r="M59" s="1631"/>
      <c r="N59" s="1631"/>
      <c r="O59" s="1632"/>
      <c r="P59" s="395"/>
    </row>
    <row r="60" spans="1:16" ht="9.9499999999999993" customHeight="1">
      <c r="A60" s="404"/>
      <c r="B60" s="1630"/>
      <c r="C60" s="1631"/>
      <c r="D60" s="1631"/>
      <c r="E60" s="1631"/>
      <c r="F60" s="1631"/>
      <c r="G60" s="1631"/>
      <c r="H60" s="1631"/>
      <c r="I60" s="1631"/>
      <c r="J60" s="1631"/>
      <c r="K60" s="1631"/>
      <c r="L60" s="1631"/>
      <c r="M60" s="1631"/>
      <c r="N60" s="1631"/>
      <c r="O60" s="1632"/>
      <c r="P60" s="395"/>
    </row>
    <row r="61" spans="1:16" ht="9.9499999999999993" customHeight="1">
      <c r="A61" s="404"/>
      <c r="B61" s="1633"/>
      <c r="C61" s="1701"/>
      <c r="D61" s="1701"/>
      <c r="E61" s="1701"/>
      <c r="F61" s="1701"/>
      <c r="G61" s="1701"/>
      <c r="H61" s="1701"/>
      <c r="I61" s="1701"/>
      <c r="J61" s="1701"/>
      <c r="K61" s="1701"/>
      <c r="L61" s="1701"/>
      <c r="M61" s="1701"/>
      <c r="N61" s="1701"/>
      <c r="O61" s="1634"/>
      <c r="P61" s="403"/>
    </row>
    <row r="62" spans="1:16" ht="9.9499999999999993" customHeight="1">
      <c r="A62" s="404"/>
      <c r="B62" s="1635"/>
      <c r="C62" s="1636"/>
      <c r="D62" s="1631"/>
      <c r="E62" s="1631"/>
      <c r="F62" s="1631"/>
      <c r="G62" s="1631"/>
      <c r="H62" s="1631"/>
      <c r="I62" s="1631"/>
      <c r="J62" s="1631"/>
      <c r="K62" s="1631"/>
      <c r="L62" s="1631"/>
      <c r="M62" s="1631"/>
      <c r="N62" s="1631"/>
      <c r="O62" s="1634"/>
      <c r="P62" s="403"/>
    </row>
    <row r="63" spans="1:16" ht="9.9499999999999993" customHeight="1">
      <c r="A63" s="404"/>
      <c r="B63" s="1635"/>
      <c r="C63" s="1636"/>
      <c r="D63" s="1631"/>
      <c r="E63" s="1631"/>
      <c r="F63" s="1631"/>
      <c r="G63" s="1631"/>
      <c r="H63" s="1631"/>
      <c r="I63" s="1631"/>
      <c r="J63" s="1631"/>
      <c r="K63" s="1631"/>
      <c r="L63" s="1631"/>
      <c r="M63" s="1631"/>
      <c r="N63" s="1631"/>
      <c r="O63" s="1634"/>
      <c r="P63" s="403"/>
    </row>
    <row r="64" spans="1:16" ht="9.9499999999999993" customHeight="1">
      <c r="A64" s="404"/>
      <c r="B64" s="1635"/>
      <c r="C64" s="1637"/>
      <c r="D64" s="1638"/>
      <c r="E64" s="1638"/>
      <c r="F64" s="1638"/>
      <c r="G64" s="1639"/>
      <c r="H64" s="1640"/>
      <c r="I64" s="1640"/>
      <c r="J64" s="1638"/>
      <c r="K64" s="1638"/>
      <c r="L64" s="1638"/>
      <c r="M64" s="1638"/>
      <c r="N64" s="1638"/>
      <c r="O64" s="1634"/>
      <c r="P64" s="395"/>
    </row>
    <row r="65" spans="1:16" ht="9.9499999999999993" customHeight="1">
      <c r="A65" s="404"/>
      <c r="B65" s="1635"/>
      <c r="C65" s="1638"/>
      <c r="D65" s="1638"/>
      <c r="E65" s="1638"/>
      <c r="F65" s="1638"/>
      <c r="G65" s="1640"/>
      <c r="H65" s="1640"/>
      <c r="I65" s="1640"/>
      <c r="J65" s="1638"/>
      <c r="K65" s="1638"/>
      <c r="L65" s="1638"/>
      <c r="M65" s="1638"/>
      <c r="N65" s="1638"/>
      <c r="O65" s="1634"/>
      <c r="P65" s="395"/>
    </row>
    <row r="66" spans="1:16" ht="9.9499999999999993" customHeight="1">
      <c r="A66" s="404"/>
      <c r="B66" s="1630"/>
      <c r="C66" s="1631"/>
      <c r="D66" s="1631"/>
      <c r="E66" s="1631"/>
      <c r="F66" s="1631"/>
      <c r="G66" s="1631"/>
      <c r="H66" s="1631"/>
      <c r="I66" s="1631"/>
      <c r="J66" s="1631"/>
      <c r="K66" s="1631"/>
      <c r="L66" s="1631"/>
      <c r="M66" s="1631"/>
      <c r="N66" s="1631"/>
      <c r="O66" s="1632"/>
      <c r="P66" s="395"/>
    </row>
    <row r="67" spans="1:16" ht="9.9499999999999993" customHeight="1">
      <c r="A67" s="404"/>
      <c r="B67" s="1630"/>
      <c r="C67" s="1631"/>
      <c r="D67" s="1631"/>
      <c r="E67" s="1631"/>
      <c r="F67" s="1631"/>
      <c r="G67" s="1631"/>
      <c r="H67" s="1631"/>
      <c r="I67" s="1631"/>
      <c r="J67" s="1631"/>
      <c r="K67" s="1631"/>
      <c r="L67" s="1631"/>
      <c r="M67" s="1631"/>
      <c r="N67" s="1631"/>
      <c r="O67" s="1632"/>
      <c r="P67" s="395"/>
    </row>
    <row r="68" spans="1:16" ht="12" customHeight="1">
      <c r="A68" s="404"/>
      <c r="B68" s="1630"/>
      <c r="C68" s="1631"/>
      <c r="D68" s="1631"/>
      <c r="E68" s="1631"/>
      <c r="F68" s="1631"/>
      <c r="G68" s="1631"/>
      <c r="H68" s="1631"/>
      <c r="I68" s="1631"/>
      <c r="J68" s="1631"/>
      <c r="K68" s="1631"/>
      <c r="L68" s="1631"/>
      <c r="M68" s="1631"/>
      <c r="N68" s="1631"/>
      <c r="O68" s="1632"/>
      <c r="P68" s="395"/>
    </row>
    <row r="69" spans="1:16" ht="12" customHeight="1">
      <c r="A69" s="405"/>
      <c r="B69" s="1630"/>
      <c r="C69" s="1631"/>
      <c r="D69" s="1631"/>
      <c r="E69" s="1631"/>
      <c r="F69" s="1631"/>
      <c r="G69" s="1631"/>
      <c r="H69" s="1631"/>
      <c r="I69" s="1631"/>
      <c r="J69" s="1631"/>
      <c r="K69" s="1631"/>
      <c r="L69" s="1631"/>
      <c r="M69" s="1631"/>
      <c r="N69" s="1631"/>
      <c r="O69" s="1632"/>
      <c r="P69" s="397"/>
    </row>
    <row r="70" spans="1:16" ht="9.9499999999999993" customHeight="1">
      <c r="A70" s="398"/>
      <c r="B70" s="1630"/>
      <c r="C70" s="1631"/>
      <c r="D70" s="1631"/>
      <c r="E70" s="1631"/>
      <c r="F70" s="1631"/>
      <c r="G70" s="1631"/>
      <c r="H70" s="1631"/>
      <c r="I70" s="1631"/>
      <c r="J70" s="1631"/>
      <c r="K70" s="1631"/>
      <c r="L70" s="1631"/>
      <c r="M70" s="1631"/>
      <c r="N70" s="1631"/>
      <c r="O70" s="1632"/>
      <c r="P70" s="398"/>
    </row>
    <row r="71" spans="1:16" ht="89.25" customHeight="1">
      <c r="A71" s="398"/>
      <c r="B71" s="1630"/>
      <c r="C71" s="1631"/>
      <c r="D71" s="1631"/>
      <c r="E71" s="1631"/>
      <c r="F71" s="1631"/>
      <c r="G71" s="1631"/>
      <c r="H71" s="1631"/>
      <c r="I71" s="1631"/>
      <c r="J71" s="1631"/>
      <c r="K71" s="1631"/>
      <c r="L71" s="1631"/>
      <c r="M71" s="1631"/>
      <c r="N71" s="1631"/>
      <c r="O71" s="1632"/>
      <c r="P71" s="398"/>
    </row>
    <row r="72" spans="1:16" ht="6.6" customHeight="1">
      <c r="B72" s="1702" t="s">
        <v>189</v>
      </c>
      <c r="C72" s="1703"/>
      <c r="D72" s="1703"/>
      <c r="E72" s="1703"/>
      <c r="F72" s="1703"/>
      <c r="G72" s="1703"/>
      <c r="H72" s="1703"/>
      <c r="I72" s="1703"/>
      <c r="J72" s="1703"/>
      <c r="K72" s="1703"/>
      <c r="L72" s="1703"/>
      <c r="M72" s="1703"/>
      <c r="N72" s="1703"/>
      <c r="O72" s="1704"/>
    </row>
    <row r="73" spans="1:16">
      <c r="B73" s="1705"/>
      <c r="C73" s="1706"/>
      <c r="D73" s="1706"/>
      <c r="E73" s="1706"/>
      <c r="F73" s="1706"/>
      <c r="G73" s="1706"/>
      <c r="H73" s="1706"/>
      <c r="I73" s="1706"/>
      <c r="J73" s="1706"/>
      <c r="K73" s="1706"/>
      <c r="L73" s="1706"/>
      <c r="M73" s="1706"/>
      <c r="N73" s="1706"/>
      <c r="O73" s="1707"/>
    </row>
    <row r="74" spans="1:16">
      <c r="B74" s="1677" t="s">
        <v>190</v>
      </c>
      <c r="C74" s="1678"/>
      <c r="D74" s="1678"/>
      <c r="E74" s="1678"/>
      <c r="F74" s="1678"/>
      <c r="G74" s="1678"/>
      <c r="H74" s="1678"/>
      <c r="I74" s="1678"/>
      <c r="J74" s="1678"/>
      <c r="K74" s="1678"/>
      <c r="L74" s="1678"/>
      <c r="M74" s="1678"/>
      <c r="N74" s="1678"/>
      <c r="O74" s="1679"/>
    </row>
    <row r="75" spans="1:16" ht="9.9499999999999993" customHeight="1">
      <c r="B75" s="1680" t="s">
        <v>191</v>
      </c>
      <c r="C75" s="1681"/>
      <c r="D75" s="1681"/>
      <c r="E75" s="1681"/>
      <c r="F75" s="1681"/>
      <c r="G75" s="1681"/>
      <c r="H75" s="1681"/>
      <c r="I75" s="1681"/>
      <c r="J75" s="1681"/>
      <c r="K75" s="1681"/>
      <c r="L75" s="1681"/>
      <c r="M75" s="1681"/>
      <c r="N75" s="1681"/>
      <c r="O75" s="1682"/>
    </row>
    <row r="76" spans="1:16" ht="13.5" customHeight="1">
      <c r="B76" s="1683" t="s">
        <v>192</v>
      </c>
      <c r="C76" s="1684"/>
      <c r="D76" s="1684"/>
      <c r="E76" s="1684"/>
      <c r="F76" s="1684"/>
      <c r="G76" s="1684"/>
      <c r="H76" s="1684"/>
      <c r="I76" s="1684"/>
      <c r="J76" s="1684"/>
      <c r="K76" s="1684"/>
      <c r="L76" s="1684"/>
      <c r="M76" s="1684"/>
      <c r="N76" s="1684"/>
      <c r="O76" s="1685"/>
    </row>
    <row r="77" spans="1:16">
      <c r="B77" s="1686"/>
      <c r="C77" s="1687"/>
      <c r="D77" s="1687"/>
      <c r="E77" s="1687"/>
      <c r="F77" s="1687"/>
      <c r="G77" s="1687"/>
      <c r="H77" s="1687"/>
      <c r="I77" s="1687"/>
      <c r="J77" s="1687"/>
      <c r="K77" s="1687"/>
      <c r="L77" s="1687"/>
      <c r="M77" s="1687"/>
      <c r="N77" s="1687"/>
      <c r="O77" s="1688"/>
    </row>
  </sheetData>
  <mergeCells count="28">
    <mergeCell ref="C10:F10"/>
    <mergeCell ref="A2:N3"/>
    <mergeCell ref="C6:F6"/>
    <mergeCell ref="C7:F7"/>
    <mergeCell ref="C8:F8"/>
    <mergeCell ref="F9:G9"/>
    <mergeCell ref="H9:K9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topLeftCell="A9" zoomScaleNormal="100" zoomScaleSheetLayoutView="100" workbookViewId="0">
      <selection activeCell="W71" sqref="W71"/>
    </sheetView>
  </sheetViews>
  <sheetFormatPr defaultRowHeight="15"/>
  <cols>
    <col min="1" max="1" width="3.5703125" style="1058" customWidth="1"/>
    <col min="2" max="2" width="21.140625" style="1057" customWidth="1"/>
    <col min="3" max="4" width="13.7109375" style="1057" customWidth="1"/>
    <col min="5" max="5" width="13.85546875" style="1057" customWidth="1"/>
    <col min="6" max="6" width="12.140625" style="1057" customWidth="1"/>
    <col min="7" max="9" width="13.7109375" style="1057" customWidth="1"/>
    <col min="10" max="10" width="15.140625" style="1057" customWidth="1"/>
    <col min="11" max="11" width="11.42578125" style="1057" customWidth="1"/>
    <col min="12" max="14" width="13.7109375" style="1057" customWidth="1"/>
    <col min="15" max="15" width="3.140625" customWidth="1"/>
    <col min="16" max="16" width="9.140625" style="1056"/>
    <col min="17" max="17" width="17.85546875" style="1056" bestFit="1" customWidth="1"/>
    <col min="18" max="18" width="22.28515625" style="1056" customWidth="1"/>
    <col min="19" max="19" width="20" style="1056" bestFit="1" customWidth="1"/>
    <col min="20" max="16384" width="9.140625" style="1056"/>
  </cols>
  <sheetData>
    <row r="1" spans="1:19" s="1057" customFormat="1" ht="15.75" thickBo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065"/>
      <c r="O1"/>
    </row>
    <row r="2" spans="1:19" s="1057" customFormat="1">
      <c r="A2" s="1269"/>
      <c r="B2" s="1065"/>
      <c r="C2" s="1065"/>
      <c r="D2" s="1065"/>
      <c r="E2" s="1065"/>
      <c r="F2" s="1065"/>
      <c r="G2" s="1065"/>
      <c r="H2" s="1065"/>
      <c r="I2" s="1065"/>
      <c r="J2" s="1101"/>
      <c r="K2" s="1890" t="s">
        <v>361</v>
      </c>
      <c r="L2" s="1890"/>
      <c r="M2" s="1884">
        <f ca="1">NOW()</f>
        <v>45978.399704166666</v>
      </c>
      <c r="N2" s="1884"/>
      <c r="O2" s="1628"/>
    </row>
    <row r="3" spans="1:19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K3" s="1062"/>
      <c r="L3" s="1058"/>
      <c r="M3" s="1755" t="s">
        <v>648</v>
      </c>
      <c r="N3" s="1755"/>
      <c r="O3" s="1489"/>
    </row>
    <row r="4" spans="1:19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K4" s="1062"/>
      <c r="L4" s="1062"/>
      <c r="M4" s="1058"/>
      <c r="N4" s="1058"/>
      <c r="O4" s="1489"/>
    </row>
    <row r="5" spans="1:19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K5" s="1062"/>
      <c r="L5" s="1062"/>
      <c r="N5" s="1462" t="s">
        <v>182</v>
      </c>
      <c r="O5" s="1489"/>
    </row>
    <row r="6" spans="1:19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062"/>
      <c r="O6" s="1489"/>
    </row>
    <row r="7" spans="1:19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489"/>
    </row>
    <row r="8" spans="1:19" s="1057" customFormat="1">
      <c r="A8" s="1203"/>
      <c r="B8" s="1062"/>
      <c r="C8" s="1062"/>
      <c r="D8" s="1062"/>
      <c r="E8" s="1062"/>
      <c r="F8" s="1062"/>
      <c r="G8" s="1062"/>
      <c r="H8" s="1062"/>
      <c r="I8" s="1062"/>
      <c r="J8" s="1062"/>
      <c r="K8" s="1062"/>
      <c r="L8" s="1062"/>
      <c r="M8" s="1062"/>
      <c r="N8" s="1062"/>
      <c r="O8" s="1489"/>
    </row>
    <row r="9" spans="1:19" s="1057" customFormat="1" ht="15.75" thickBot="1">
      <c r="A9" s="1203"/>
      <c r="B9" s="1062"/>
      <c r="C9" s="1062"/>
      <c r="D9" s="1062"/>
      <c r="E9" s="1062"/>
      <c r="F9" s="1062"/>
      <c r="G9" s="1062"/>
      <c r="H9" s="1062"/>
      <c r="I9" s="1062"/>
      <c r="J9" s="1062"/>
      <c r="K9" s="1062"/>
      <c r="L9" s="1062"/>
      <c r="M9" s="1062"/>
      <c r="N9" s="1062"/>
      <c r="O9" s="1489"/>
    </row>
    <row r="10" spans="1:19" s="1057" customFormat="1" ht="14.25" customHeight="1" thickBot="1">
      <c r="A10" s="1757" t="s">
        <v>662</v>
      </c>
      <c r="B10" s="1758"/>
      <c r="C10" s="1758"/>
      <c r="D10" s="1758"/>
      <c r="E10" s="1758"/>
      <c r="F10" s="1758"/>
      <c r="G10" s="1758"/>
      <c r="H10" s="1758"/>
      <c r="I10" s="1758"/>
      <c r="J10" s="1758"/>
      <c r="K10" s="1758"/>
      <c r="L10" s="1758"/>
      <c r="M10" s="1758"/>
      <c r="N10" s="1758"/>
      <c r="O10" s="1759"/>
      <c r="Q10" s="1614" t="s">
        <v>346</v>
      </c>
      <c r="R10" s="1615"/>
      <c r="S10" s="1592">
        <v>45978.399699074071</v>
      </c>
    </row>
    <row r="11" spans="1:19" s="1057" customFormat="1" ht="15" customHeight="1" thickBot="1">
      <c r="A11" s="1760"/>
      <c r="B11" s="1761"/>
      <c r="C11" s="1761"/>
      <c r="D11" s="1761"/>
      <c r="E11" s="1761"/>
      <c r="F11" s="1761"/>
      <c r="G11" s="1761"/>
      <c r="H11" s="1761"/>
      <c r="I11" s="1761"/>
      <c r="J11" s="1761"/>
      <c r="K11" s="1761"/>
      <c r="L11" s="1761"/>
      <c r="M11" s="1761"/>
      <c r="N11" s="1761"/>
      <c r="O11" s="1762"/>
      <c r="Q11" s="1616"/>
      <c r="R11" s="1"/>
      <c r="S11" s="1617"/>
    </row>
    <row r="12" spans="1:19" s="1057" customFormat="1" ht="15.75" thickBot="1">
      <c r="A12" s="1203"/>
      <c r="B12" s="1062"/>
      <c r="C12" s="1062"/>
      <c r="D12" s="1062"/>
      <c r="E12" s="1062"/>
      <c r="F12" s="1062"/>
      <c r="G12" s="1062"/>
      <c r="H12" s="1062"/>
      <c r="I12" s="1062"/>
      <c r="J12" s="1062"/>
      <c r="K12" s="1062"/>
      <c r="L12" s="1062"/>
      <c r="M12" s="1062"/>
      <c r="N12" s="1062"/>
      <c r="O12" s="1489"/>
      <c r="Q12" s="1618" t="s">
        <v>207</v>
      </c>
      <c r="R12" s="1461" t="s">
        <v>208</v>
      </c>
      <c r="S12" s="1619" t="s">
        <v>209</v>
      </c>
    </row>
    <row r="13" spans="1:19" s="1057" customFormat="1" ht="15.75" thickBot="1">
      <c r="A13" s="1203"/>
      <c r="B13" s="1876" t="s">
        <v>226</v>
      </c>
      <c r="C13" s="1867" t="s">
        <v>660</v>
      </c>
      <c r="D13" s="1729"/>
      <c r="E13" s="1730"/>
      <c r="G13" s="1728" t="s">
        <v>226</v>
      </c>
      <c r="H13" s="1867" t="s">
        <v>659</v>
      </c>
      <c r="I13" s="1729"/>
      <c r="J13" s="1730"/>
      <c r="K13"/>
      <c r="L13" s="1202" t="s">
        <v>661</v>
      </c>
      <c r="M13" s="1"/>
      <c r="N13" s="1"/>
      <c r="O13" s="1489"/>
      <c r="Q13" s="1616"/>
      <c r="R13" s="1"/>
      <c r="S13" s="1617"/>
    </row>
    <row r="14" spans="1:19" s="1057" customFormat="1" ht="15.75" thickBot="1">
      <c r="A14" s="1203"/>
      <c r="B14" s="1877"/>
      <c r="C14" s="1305" t="s">
        <v>13</v>
      </c>
      <c r="D14" s="1174" t="s">
        <v>88</v>
      </c>
      <c r="E14" s="1304" t="s">
        <v>658</v>
      </c>
      <c r="G14" s="1866"/>
      <c r="H14" s="1303" t="s">
        <v>13</v>
      </c>
      <c r="I14" s="1302" t="s">
        <v>88</v>
      </c>
      <c r="J14" s="1301" t="s">
        <v>658</v>
      </c>
      <c r="K14"/>
      <c r="L14" s="1725" t="s">
        <v>6</v>
      </c>
      <c r="M14" s="1726"/>
      <c r="N14" s="1256">
        <v>102</v>
      </c>
      <c r="O14" s="1489"/>
      <c r="Q14" s="1620" t="s">
        <v>210</v>
      </c>
      <c r="R14" s="484" t="s">
        <v>204</v>
      </c>
      <c r="S14" s="1597"/>
    </row>
    <row r="15" spans="1:19" s="1057" customFormat="1">
      <c r="A15" s="1203"/>
      <c r="B15" s="1297">
        <f>margins!Z3</f>
        <v>6.125</v>
      </c>
      <c r="C15" s="1300">
        <v>98.404000000000011</v>
      </c>
      <c r="D15" s="1299">
        <v>98.554000000000002</v>
      </c>
      <c r="E15" s="1298">
        <v>98.554000000000002</v>
      </c>
      <c r="G15" s="1297">
        <f>B15</f>
        <v>6.125</v>
      </c>
      <c r="H15" s="1300">
        <v>98.404000000000011</v>
      </c>
      <c r="I15" s="1299">
        <v>98.554000000000002</v>
      </c>
      <c r="J15" s="1298">
        <v>98.554000000000002</v>
      </c>
      <c r="K15"/>
      <c r="L15" s="1888" t="s">
        <v>689</v>
      </c>
      <c r="M15" s="1889"/>
      <c r="N15" s="1252">
        <v>100.5</v>
      </c>
      <c r="O15" s="1489"/>
      <c r="Q15" s="1621" t="s">
        <v>5</v>
      </c>
      <c r="R15" s="661" t="s">
        <v>352</v>
      </c>
      <c r="S15" s="1600"/>
    </row>
    <row r="16" spans="1:19" s="1057" customFormat="1">
      <c r="A16" s="1203"/>
      <c r="B16" s="1242">
        <f>margins!Z4</f>
        <v>6.25</v>
      </c>
      <c r="C16" s="1300">
        <v>99.154000000000011</v>
      </c>
      <c r="D16" s="1299">
        <v>99.304000000000002</v>
      </c>
      <c r="E16" s="1298">
        <v>99.304000000000002</v>
      </c>
      <c r="G16" s="1242">
        <f>B16</f>
        <v>6.25</v>
      </c>
      <c r="H16" s="1300">
        <v>99.154000000000011</v>
      </c>
      <c r="I16" s="1299">
        <v>99.304000000000002</v>
      </c>
      <c r="J16" s="1298">
        <v>99.304000000000002</v>
      </c>
      <c r="K16"/>
      <c r="L16" s="1888" t="s">
        <v>657</v>
      </c>
      <c r="M16" s="1889"/>
      <c r="N16" s="1252">
        <v>0</v>
      </c>
      <c r="O16" s="1489"/>
      <c r="Q16" s="1621" t="s">
        <v>211</v>
      </c>
      <c r="R16" s="485">
        <v>7.5</v>
      </c>
      <c r="S16" s="1600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104.465</v>
      </c>
    </row>
    <row r="17" spans="1:19" s="1057" customFormat="1" ht="15.75" thickBot="1">
      <c r="A17" s="1203"/>
      <c r="B17" s="1242">
        <f>margins!Z5</f>
        <v>6.375</v>
      </c>
      <c r="C17" s="1300">
        <v>99.872</v>
      </c>
      <c r="D17" s="1299">
        <v>100.02200000000001</v>
      </c>
      <c r="E17" s="1298">
        <v>100.02200000000001</v>
      </c>
      <c r="G17" s="1242">
        <f t="shared" ref="G17:G39" si="0">B17</f>
        <v>6.375</v>
      </c>
      <c r="H17" s="1300">
        <v>99.872</v>
      </c>
      <c r="I17" s="1299">
        <v>100.02200000000001</v>
      </c>
      <c r="J17" s="1298">
        <v>100.02200000000001</v>
      </c>
      <c r="K17"/>
      <c r="L17" s="1753" t="s">
        <v>644</v>
      </c>
      <c r="M17" s="1887"/>
      <c r="N17" s="1258">
        <v>-0.375</v>
      </c>
      <c r="O17" s="1489"/>
      <c r="Q17" s="1598" t="s">
        <v>386</v>
      </c>
      <c r="R17" s="485" t="s">
        <v>17</v>
      </c>
      <c r="S17" s="1600"/>
    </row>
    <row r="18" spans="1:19" s="1057" customFormat="1">
      <c r="A18" s="1203"/>
      <c r="B18" s="1242">
        <f>margins!Z6</f>
        <v>6.5</v>
      </c>
      <c r="C18" s="1300">
        <v>100.56</v>
      </c>
      <c r="D18" s="1299">
        <v>100.71000000000001</v>
      </c>
      <c r="E18" s="1298">
        <v>100.71000000000001</v>
      </c>
      <c r="G18" s="1242">
        <f t="shared" si="0"/>
        <v>6.5</v>
      </c>
      <c r="H18" s="1300">
        <v>100.56</v>
      </c>
      <c r="I18" s="1299">
        <v>100.71000000000001</v>
      </c>
      <c r="J18" s="1298">
        <v>100.71000000000001</v>
      </c>
      <c r="K18"/>
      <c r="O18" s="1489"/>
      <c r="Q18" s="1621" t="s">
        <v>212</v>
      </c>
      <c r="R18" s="485" t="s">
        <v>36</v>
      </c>
      <c r="S18" s="1600"/>
    </row>
    <row r="19" spans="1:19" s="1057" customFormat="1" ht="15.75" thickBot="1">
      <c r="A19" s="1203"/>
      <c r="B19" s="1242">
        <f>margins!Z7</f>
        <v>6.625</v>
      </c>
      <c r="C19" s="1300">
        <v>101.185</v>
      </c>
      <c r="D19" s="1299">
        <v>101.33500000000001</v>
      </c>
      <c r="E19" s="1298">
        <v>101.33500000000001</v>
      </c>
      <c r="G19" s="1242">
        <f t="shared" si="0"/>
        <v>6.625</v>
      </c>
      <c r="H19" s="1300">
        <v>101.185</v>
      </c>
      <c r="I19" s="1299">
        <v>101.33500000000001</v>
      </c>
      <c r="J19" s="1298">
        <v>101.33500000000001</v>
      </c>
      <c r="K19"/>
      <c r="L19" s="1202" t="s">
        <v>642</v>
      </c>
      <c r="O19" s="1489"/>
      <c r="Q19" s="1621" t="s">
        <v>341</v>
      </c>
      <c r="R19" s="661" t="s">
        <v>203</v>
      </c>
      <c r="S19" s="1600">
        <f>IF(R19="Full Doc - 2 Years",INDEX($E$55:$M$63,MATCH(R18,C55:C63,0),MATCH(R17,$E$54:$M$54,0),1),0)</f>
        <v>0</v>
      </c>
    </row>
    <row r="20" spans="1:19" s="1057" customFormat="1">
      <c r="A20" s="1203"/>
      <c r="B20" s="1242">
        <f>margins!Z8</f>
        <v>6.75</v>
      </c>
      <c r="C20" s="1300">
        <v>101.747</v>
      </c>
      <c r="D20" s="1299">
        <v>101.89700000000001</v>
      </c>
      <c r="E20" s="1298">
        <v>101.89700000000001</v>
      </c>
      <c r="G20" s="1242">
        <f t="shared" si="0"/>
        <v>6.75</v>
      </c>
      <c r="H20" s="1300">
        <v>101.747</v>
      </c>
      <c r="I20" s="1299">
        <v>101.89700000000001</v>
      </c>
      <c r="J20" s="1298">
        <v>101.89700000000001</v>
      </c>
      <c r="K20"/>
      <c r="L20" s="1257" t="s">
        <v>267</v>
      </c>
      <c r="M20" s="1731" t="s">
        <v>640</v>
      </c>
      <c r="N20" s="1732"/>
      <c r="O20" s="1489"/>
      <c r="Q20" s="1621" t="s">
        <v>342</v>
      </c>
      <c r="R20" s="1458" t="s">
        <v>203</v>
      </c>
      <c r="S20" s="1600">
        <f>IF(R20="Full Doc - 1 Year",INDEX($E$64:$M$64,1,MATCH(R17,$E$54:$M$54,0),1),0)</f>
        <v>0</v>
      </c>
    </row>
    <row r="21" spans="1:19" s="1057" customFormat="1">
      <c r="A21" s="1203"/>
      <c r="B21" s="1242">
        <f>margins!Z9</f>
        <v>6.875</v>
      </c>
      <c r="C21" s="1300">
        <v>102.27800000000001</v>
      </c>
      <c r="D21" s="1299">
        <v>102.42800000000001</v>
      </c>
      <c r="E21" s="1298">
        <v>102.42800000000001</v>
      </c>
      <c r="G21" s="1242">
        <f t="shared" si="0"/>
        <v>6.875</v>
      </c>
      <c r="H21" s="1300">
        <v>102.27800000000001</v>
      </c>
      <c r="I21" s="1299">
        <v>102.42800000000001</v>
      </c>
      <c r="J21" s="1298">
        <v>102.42800000000001</v>
      </c>
      <c r="K21"/>
      <c r="L21" s="1253" t="s">
        <v>223</v>
      </c>
      <c r="M21" s="1735">
        <v>5</v>
      </c>
      <c r="N21" s="1736"/>
      <c r="O21" s="1489"/>
      <c r="Q21" s="1621" t="s">
        <v>5</v>
      </c>
      <c r="R21" s="485" t="s">
        <v>203</v>
      </c>
      <c r="S21" s="1600">
        <f>IF(R21="Choose a Selection",0,(INDEX($E$68:$M$76,MATCH($R$18,C68:C76,0),MATCH($R$17,$E$67:$M$67,0),1)))</f>
        <v>0</v>
      </c>
    </row>
    <row r="22" spans="1:19" s="1057" customFormat="1">
      <c r="A22" s="1203"/>
      <c r="B22" s="1242">
        <f>margins!Z10</f>
        <v>7</v>
      </c>
      <c r="C22" s="1300">
        <v>102.77800000000001</v>
      </c>
      <c r="D22" s="1299">
        <v>102.92800000000001</v>
      </c>
      <c r="E22" s="1298">
        <v>102.92800000000001</v>
      </c>
      <c r="G22" s="1242">
        <f t="shared" si="0"/>
        <v>7</v>
      </c>
      <c r="H22" s="1300">
        <v>102.77800000000001</v>
      </c>
      <c r="I22" s="1299">
        <v>102.92800000000001</v>
      </c>
      <c r="J22" s="1298">
        <v>102.92800000000001</v>
      </c>
      <c r="K22"/>
      <c r="L22" s="1253" t="s">
        <v>639</v>
      </c>
      <c r="M22" s="1735" t="s">
        <v>638</v>
      </c>
      <c r="N22" s="1736"/>
      <c r="O22" s="1489"/>
      <c r="Q22" s="1621" t="s">
        <v>344</v>
      </c>
      <c r="R22" s="485" t="s">
        <v>203</v>
      </c>
      <c r="S22" s="1600">
        <f>IF(R22="Choose a Selection",0,(INDEX($E$68:$M$81,MATCH(R22,C68:C81,0),MATCH($R$17,$E$67:$M$67,0),1)))</f>
        <v>0</v>
      </c>
    </row>
    <row r="23" spans="1:19" s="1057" customFormat="1" ht="14.25" customHeight="1" thickBot="1">
      <c r="A23" s="1203"/>
      <c r="B23" s="1242">
        <f>margins!Z11</f>
        <v>7.125</v>
      </c>
      <c r="C23" s="1300">
        <v>103.247</v>
      </c>
      <c r="D23" s="1299">
        <v>103.39700000000001</v>
      </c>
      <c r="E23" s="1298">
        <v>103.39700000000001</v>
      </c>
      <c r="G23" s="1242">
        <f t="shared" si="0"/>
        <v>7.125</v>
      </c>
      <c r="H23" s="1300">
        <v>103.247</v>
      </c>
      <c r="I23" s="1299">
        <v>103.39700000000001</v>
      </c>
      <c r="J23" s="1298">
        <v>103.39700000000001</v>
      </c>
      <c r="K23"/>
      <c r="L23" s="1514" t="s">
        <v>637</v>
      </c>
      <c r="M23" s="1885" t="s">
        <v>263</v>
      </c>
      <c r="N23" s="1886"/>
      <c r="O23" s="1489"/>
      <c r="Q23" s="1621" t="s">
        <v>72</v>
      </c>
      <c r="R23" s="485" t="s">
        <v>203</v>
      </c>
      <c r="S23" s="1600">
        <f t="shared" ref="S23:S31" si="1">IF(R23="Choose a Selection",0,(INDEX($E$85:$M$115,MATCH(R23,$C$85:$C$115,0),MATCH($R$17,$E$84:$M$84,0),1)))</f>
        <v>0</v>
      </c>
    </row>
    <row r="24" spans="1:19" s="1057" customFormat="1">
      <c r="A24" s="1203"/>
      <c r="B24" s="1242">
        <f>margins!Z12</f>
        <v>7.25</v>
      </c>
      <c r="C24" s="1300">
        <v>103.715</v>
      </c>
      <c r="D24" s="1299">
        <v>103.86500000000001</v>
      </c>
      <c r="E24" s="1298">
        <v>103.86500000000001</v>
      </c>
      <c r="G24" s="1242">
        <f t="shared" si="0"/>
        <v>7.25</v>
      </c>
      <c r="H24" s="1300">
        <v>103.715</v>
      </c>
      <c r="I24" s="1299">
        <v>103.86500000000001</v>
      </c>
      <c r="J24" s="1298">
        <v>103.86500000000001</v>
      </c>
      <c r="K24"/>
      <c r="L24"/>
      <c r="M24"/>
      <c r="N24"/>
      <c r="O24" s="1489"/>
      <c r="Q24" s="1621" t="s">
        <v>347</v>
      </c>
      <c r="R24" s="485" t="s">
        <v>203</v>
      </c>
      <c r="S24" s="1600">
        <f t="shared" si="1"/>
        <v>0</v>
      </c>
    </row>
    <row r="25" spans="1:19" s="1057" customFormat="1" ht="14.25" customHeight="1" thickBot="1">
      <c r="A25" s="1203"/>
      <c r="B25" s="1242">
        <f>margins!Z13</f>
        <v>7.375</v>
      </c>
      <c r="C25" s="1300">
        <v>104.09</v>
      </c>
      <c r="D25" s="1299">
        <v>104.24000000000001</v>
      </c>
      <c r="E25" s="1298">
        <v>104.24000000000001</v>
      </c>
      <c r="G25" s="1242">
        <f t="shared" si="0"/>
        <v>7.375</v>
      </c>
      <c r="H25" s="1300">
        <v>104.09</v>
      </c>
      <c r="I25" s="1299">
        <v>104.24000000000001</v>
      </c>
      <c r="J25" s="1298">
        <v>104.24000000000001</v>
      </c>
      <c r="K25"/>
      <c r="L25" s="1202" t="s">
        <v>656</v>
      </c>
      <c r="O25" s="1489"/>
      <c r="Q25" s="1621" t="s">
        <v>45</v>
      </c>
      <c r="R25" s="485" t="s">
        <v>203</v>
      </c>
      <c r="S25" s="1600">
        <f t="shared" si="1"/>
        <v>0</v>
      </c>
    </row>
    <row r="26" spans="1:19" s="1057" customFormat="1" ht="15.75" thickBot="1">
      <c r="A26" s="1203"/>
      <c r="B26" s="1242">
        <f>margins!Z14</f>
        <v>7.5</v>
      </c>
      <c r="C26" s="1300">
        <v>104.465</v>
      </c>
      <c r="D26" s="1299">
        <v>104.61500000000001</v>
      </c>
      <c r="E26" s="1298">
        <v>104.61500000000001</v>
      </c>
      <c r="G26" s="1242">
        <f t="shared" si="0"/>
        <v>7.5</v>
      </c>
      <c r="H26" s="1300">
        <v>104.465</v>
      </c>
      <c r="I26" s="1299">
        <v>104.61500000000001</v>
      </c>
      <c r="J26" s="1298">
        <v>104.61500000000001</v>
      </c>
      <c r="K26"/>
      <c r="L26" s="1430" t="s">
        <v>97</v>
      </c>
      <c r="M26" s="1581" t="s">
        <v>655</v>
      </c>
      <c r="N26" s="1582" t="s">
        <v>6</v>
      </c>
      <c r="O26" s="1489"/>
      <c r="Q26" s="1621" t="s">
        <v>47</v>
      </c>
      <c r="R26" s="485" t="s">
        <v>203</v>
      </c>
      <c r="S26" s="1600">
        <f t="shared" si="1"/>
        <v>0</v>
      </c>
    </row>
    <row r="27" spans="1:19" s="1057" customFormat="1" ht="14.25" customHeight="1">
      <c r="A27" s="1203"/>
      <c r="B27" s="1242">
        <f>margins!Z15</f>
        <v>7.625</v>
      </c>
      <c r="C27" s="1300">
        <v>104.80900000000001</v>
      </c>
      <c r="D27" s="1299">
        <v>104.959</v>
      </c>
      <c r="E27" s="1298">
        <v>104.959</v>
      </c>
      <c r="G27" s="1242">
        <f t="shared" si="0"/>
        <v>7.625</v>
      </c>
      <c r="H27" s="1300">
        <v>104.80900000000001</v>
      </c>
      <c r="I27" s="1299">
        <v>104.959</v>
      </c>
      <c r="J27" s="1298">
        <v>104.959</v>
      </c>
      <c r="K27"/>
      <c r="L27" s="1427" t="s">
        <v>99</v>
      </c>
      <c r="M27" s="1578">
        <v>0.5</v>
      </c>
      <c r="N27" s="1542">
        <v>102</v>
      </c>
      <c r="O27" s="1489"/>
      <c r="Q27" s="1621" t="s">
        <v>56</v>
      </c>
      <c r="R27" s="485" t="s">
        <v>203</v>
      </c>
      <c r="S27" s="1600">
        <f t="shared" si="1"/>
        <v>0</v>
      </c>
    </row>
    <row r="28" spans="1:19" s="1057" customFormat="1">
      <c r="A28" s="1203"/>
      <c r="B28" s="1242">
        <f>margins!Z16</f>
        <v>7.75</v>
      </c>
      <c r="C28" s="1300">
        <v>105.15300000000001</v>
      </c>
      <c r="D28" s="1299">
        <v>105.30300000000001</v>
      </c>
      <c r="E28" s="1298">
        <v>105.30300000000001</v>
      </c>
      <c r="G28" s="1242">
        <f t="shared" si="0"/>
        <v>7.75</v>
      </c>
      <c r="H28" s="1300">
        <v>105.15300000000001</v>
      </c>
      <c r="I28" s="1299">
        <v>105.30300000000001</v>
      </c>
      <c r="J28" s="1298">
        <v>105.30300000000001</v>
      </c>
      <c r="K28"/>
      <c r="L28" s="1427" t="s">
        <v>100</v>
      </c>
      <c r="M28" s="1579">
        <v>0.25</v>
      </c>
      <c r="N28" s="1255">
        <v>102</v>
      </c>
      <c r="O28" s="1489"/>
      <c r="Q28" s="1621" t="s">
        <v>60</v>
      </c>
      <c r="R28" s="661" t="s">
        <v>203</v>
      </c>
      <c r="S28" s="1600">
        <f t="shared" si="1"/>
        <v>0</v>
      </c>
    </row>
    <row r="29" spans="1:19" s="1057" customFormat="1">
      <c r="A29" s="1203"/>
      <c r="B29" s="1242">
        <f>margins!Z17</f>
        <v>7.875</v>
      </c>
      <c r="C29" s="1300">
        <v>105.497</v>
      </c>
      <c r="D29" s="1299">
        <v>105.64700000000001</v>
      </c>
      <c r="E29" s="1298">
        <v>105.64700000000001</v>
      </c>
      <c r="G29" s="1242">
        <f t="shared" si="0"/>
        <v>7.875</v>
      </c>
      <c r="H29" s="1300">
        <v>105.497</v>
      </c>
      <c r="I29" s="1299">
        <v>105.64700000000001</v>
      </c>
      <c r="J29" s="1298">
        <v>105.64700000000001</v>
      </c>
      <c r="K29"/>
      <c r="L29" s="1427" t="s">
        <v>7</v>
      </c>
      <c r="M29" s="1579">
        <v>0</v>
      </c>
      <c r="N29" s="1255">
        <v>102</v>
      </c>
      <c r="O29" s="1489"/>
      <c r="Q29" s="1621" t="s">
        <v>62</v>
      </c>
      <c r="R29" s="661" t="s">
        <v>203</v>
      </c>
      <c r="S29" s="1600">
        <f t="shared" si="1"/>
        <v>0</v>
      </c>
    </row>
    <row r="30" spans="1:19" s="1057" customFormat="1">
      <c r="A30" s="1203"/>
      <c r="B30" s="1242">
        <f>margins!Z18</f>
        <v>8</v>
      </c>
      <c r="C30" s="1300">
        <v>105.77900000000001</v>
      </c>
      <c r="D30" s="1299">
        <v>105.929</v>
      </c>
      <c r="E30" s="1298">
        <v>105.929</v>
      </c>
      <c r="G30" s="1242">
        <f t="shared" si="0"/>
        <v>8</v>
      </c>
      <c r="H30" s="1300">
        <v>105.77900000000001</v>
      </c>
      <c r="I30" s="1299">
        <v>105.929</v>
      </c>
      <c r="J30" s="1298">
        <v>105.929</v>
      </c>
      <c r="K30"/>
      <c r="L30" s="1427" t="s">
        <v>9</v>
      </c>
      <c r="M30" s="1579">
        <v>-0.375</v>
      </c>
      <c r="N30" s="1255">
        <v>101</v>
      </c>
      <c r="O30" s="1489"/>
      <c r="Q30" s="1621" t="s">
        <v>65</v>
      </c>
      <c r="R30" s="485" t="s">
        <v>203</v>
      </c>
      <c r="S30" s="1600">
        <f t="shared" si="1"/>
        <v>0</v>
      </c>
    </row>
    <row r="31" spans="1:19" s="1057" customFormat="1">
      <c r="A31" s="1203"/>
      <c r="B31" s="1242">
        <f>margins!Z19</f>
        <v>8.125</v>
      </c>
      <c r="C31" s="1300">
        <v>106.02900000000001</v>
      </c>
      <c r="D31" s="1299">
        <v>106.179</v>
      </c>
      <c r="E31" s="1298">
        <v>106.179</v>
      </c>
      <c r="G31" s="1242">
        <f t="shared" si="0"/>
        <v>8.125</v>
      </c>
      <c r="H31" s="1300">
        <v>106.02900000000001</v>
      </c>
      <c r="I31" s="1299">
        <v>106.179</v>
      </c>
      <c r="J31" s="1298">
        <v>106.179</v>
      </c>
      <c r="K31"/>
      <c r="L31" s="1427" t="s">
        <v>11</v>
      </c>
      <c r="M31" s="1579">
        <v>-0.75</v>
      </c>
      <c r="N31" s="1255">
        <v>100.5</v>
      </c>
      <c r="O31" s="1489"/>
      <c r="Q31" s="1621" t="s">
        <v>141</v>
      </c>
      <c r="R31" s="485" t="s">
        <v>203</v>
      </c>
      <c r="S31" s="1600">
        <f t="shared" si="1"/>
        <v>0</v>
      </c>
    </row>
    <row r="32" spans="1:19" s="1057" customFormat="1" ht="15.75" thickBot="1">
      <c r="A32" s="1203"/>
      <c r="B32" s="1242">
        <f>margins!Z20</f>
        <v>8.25</v>
      </c>
      <c r="C32" s="1300">
        <v>106.27900000000001</v>
      </c>
      <c r="D32" s="1299">
        <v>106.429</v>
      </c>
      <c r="E32" s="1298">
        <v>106.429</v>
      </c>
      <c r="G32" s="1242">
        <f t="shared" si="0"/>
        <v>8.25</v>
      </c>
      <c r="H32" s="1300">
        <v>106.27900000000001</v>
      </c>
      <c r="I32" s="1299">
        <v>106.429</v>
      </c>
      <c r="J32" s="1298">
        <v>106.429</v>
      </c>
      <c r="K32"/>
      <c r="L32" s="1210" t="s">
        <v>654</v>
      </c>
      <c r="M32" s="1580">
        <v>-1</v>
      </c>
      <c r="N32" s="1254">
        <v>100</v>
      </c>
      <c r="O32" s="1489"/>
      <c r="Q32" s="1621" t="s">
        <v>385</v>
      </c>
      <c r="R32" s="661" t="s">
        <v>203</v>
      </c>
      <c r="S32" s="1600">
        <f>IF(R32="Choose a Selection",0,VLOOKUP(R32,$L$27:$M$32,2,FALSE))</f>
        <v>0</v>
      </c>
    </row>
    <row r="33" spans="1:19" s="1057" customFormat="1" ht="15" customHeight="1">
      <c r="A33" s="1203"/>
      <c r="B33" s="1242">
        <f>margins!Z21</f>
        <v>8.375</v>
      </c>
      <c r="C33" s="1300">
        <v>106.52900000000001</v>
      </c>
      <c r="D33" s="1299">
        <v>106.679</v>
      </c>
      <c r="E33" s="1298">
        <v>106.679</v>
      </c>
      <c r="G33" s="1242">
        <f t="shared" si="0"/>
        <v>8.375</v>
      </c>
      <c r="H33" s="1300">
        <v>106.52900000000001</v>
      </c>
      <c r="I33" s="1299">
        <v>106.679</v>
      </c>
      <c r="J33" s="1298">
        <v>106.679</v>
      </c>
      <c r="K33"/>
      <c r="L33" s="1835" t="s">
        <v>465</v>
      </c>
      <c r="M33" s="1835"/>
      <c r="N33" s="1835"/>
      <c r="O33" s="1489"/>
      <c r="Q33" s="1621" t="s">
        <v>69</v>
      </c>
      <c r="R33" s="485" t="s">
        <v>203</v>
      </c>
      <c r="S33" s="1600">
        <f>IF(R33="Choose a Selection",0,(INDEX($E$85:$M$115,MATCH(R33,$C$85:$C$115,0),MATCH($R$17,$E$84:$M$84,0),1)))</f>
        <v>0</v>
      </c>
    </row>
    <row r="34" spans="1:19" s="1057" customFormat="1" ht="15" customHeight="1">
      <c r="A34" s="1203"/>
      <c r="B34" s="1242">
        <f>margins!Z22</f>
        <v>8.5</v>
      </c>
      <c r="C34" s="1300">
        <v>106.77900000000001</v>
      </c>
      <c r="D34" s="1299">
        <v>106.929</v>
      </c>
      <c r="E34" s="1298">
        <v>106.929</v>
      </c>
      <c r="G34" s="1242">
        <f t="shared" si="0"/>
        <v>8.5</v>
      </c>
      <c r="H34" s="1300">
        <v>106.77900000000001</v>
      </c>
      <c r="I34" s="1299">
        <v>106.929</v>
      </c>
      <c r="J34" s="1298">
        <v>106.929</v>
      </c>
      <c r="K34"/>
      <c r="L34" s="1835"/>
      <c r="M34" s="1835"/>
      <c r="N34" s="1835"/>
      <c r="O34" s="1489"/>
      <c r="Q34" s="1621" t="s">
        <v>680</v>
      </c>
      <c r="R34" s="485" t="s">
        <v>203</v>
      </c>
      <c r="S34" s="1600">
        <f>IF(R34="Choose a Selection",0,(INDEX($E$85:$M$115,MATCH(R34,$C$85:$C$115,0),MATCH($R$17,$E$84:$M$84,0),1)))</f>
        <v>0</v>
      </c>
    </row>
    <row r="35" spans="1:19" s="1057" customFormat="1">
      <c r="A35" s="1203"/>
      <c r="B35" s="1242">
        <f>margins!Z23</f>
        <v>8.625</v>
      </c>
      <c r="C35" s="1300">
        <v>107.02900000000001</v>
      </c>
      <c r="D35" s="1299">
        <v>107.179</v>
      </c>
      <c r="E35" s="1298">
        <v>107.179</v>
      </c>
      <c r="G35" s="1242">
        <f t="shared" si="0"/>
        <v>8.625</v>
      </c>
      <c r="H35" s="1300">
        <v>107.02900000000001</v>
      </c>
      <c r="I35" s="1299">
        <v>107.179</v>
      </c>
      <c r="J35" s="1298">
        <v>107.179</v>
      </c>
      <c r="K35"/>
      <c r="L35" s="1835" t="s">
        <v>466</v>
      </c>
      <c r="M35" s="1835"/>
      <c r="N35" s="1835"/>
      <c r="O35" s="1489"/>
      <c r="Q35" s="1621" t="s">
        <v>217</v>
      </c>
      <c r="R35" s="661" t="s">
        <v>203</v>
      </c>
      <c r="S35" s="1600">
        <f>IF(R35=15,0, IF(R35=30, N17, 0))</f>
        <v>0</v>
      </c>
    </row>
    <row r="36" spans="1:19" s="1057" customFormat="1">
      <c r="A36" s="1203"/>
      <c r="B36" s="1242">
        <f>margins!Z24</f>
        <v>8.75</v>
      </c>
      <c r="C36" s="1300">
        <v>107.27900000000001</v>
      </c>
      <c r="D36" s="1299">
        <v>107.429</v>
      </c>
      <c r="E36" s="1298">
        <v>107.429</v>
      </c>
      <c r="G36" s="1242">
        <f t="shared" si="0"/>
        <v>8.75</v>
      </c>
      <c r="H36" s="1300">
        <v>107.27900000000001</v>
      </c>
      <c r="I36" s="1299">
        <v>107.429</v>
      </c>
      <c r="J36" s="1298">
        <v>107.429</v>
      </c>
      <c r="K36"/>
      <c r="L36" s="1835"/>
      <c r="M36" s="1835"/>
      <c r="N36" s="1835"/>
      <c r="O36" s="1489"/>
      <c r="Q36" s="1601" t="s">
        <v>722</v>
      </c>
      <c r="R36" s="485" t="s">
        <v>203</v>
      </c>
      <c r="S36" s="1600">
        <f>_xlfn.IFNA(VLOOKUP(R36,B42:D43,3,0), 0)</f>
        <v>0</v>
      </c>
    </row>
    <row r="37" spans="1:19" s="1057" customFormat="1" ht="15.75" thickBot="1">
      <c r="A37" s="1203"/>
      <c r="B37" s="1242">
        <f>margins!Z25</f>
        <v>8.875</v>
      </c>
      <c r="C37" s="1300">
        <v>107.52900000000001</v>
      </c>
      <c r="D37" s="1299">
        <v>107.679</v>
      </c>
      <c r="E37" s="1298">
        <v>107.679</v>
      </c>
      <c r="G37" s="1242">
        <f t="shared" si="0"/>
        <v>8.875</v>
      </c>
      <c r="H37" s="1300">
        <v>107.52900000000001</v>
      </c>
      <c r="I37" s="1299">
        <v>107.679</v>
      </c>
      <c r="J37" s="1298">
        <v>107.679</v>
      </c>
      <c r="K37"/>
      <c r="L37" s="1835" t="s">
        <v>467</v>
      </c>
      <c r="M37" s="1835"/>
      <c r="N37" s="1835"/>
      <c r="O37" s="1489"/>
      <c r="Q37" s="1622" t="s">
        <v>218</v>
      </c>
      <c r="R37" s="486"/>
      <c r="S37" s="1623">
        <f>SUM(S19:S36)</f>
        <v>0</v>
      </c>
    </row>
    <row r="38" spans="1:19" s="1057" customFormat="1" ht="15.75" thickBot="1">
      <c r="A38" s="1203"/>
      <c r="B38" s="1242">
        <f>margins!Z26</f>
        <v>9</v>
      </c>
      <c r="C38" s="1300">
        <v>107.71600000000001</v>
      </c>
      <c r="D38" s="1299">
        <v>107.866</v>
      </c>
      <c r="E38" s="1298">
        <v>107.866</v>
      </c>
      <c r="G38" s="1242">
        <f t="shared" si="0"/>
        <v>9</v>
      </c>
      <c r="H38" s="1300">
        <v>107.71600000000001</v>
      </c>
      <c r="I38" s="1299">
        <v>107.866</v>
      </c>
      <c r="J38" s="1298">
        <v>107.866</v>
      </c>
      <c r="K38"/>
      <c r="L38" s="1835"/>
      <c r="M38" s="1835"/>
      <c r="N38" s="1835"/>
      <c r="O38" s="1489"/>
      <c r="Q38" s="1605"/>
      <c r="R38" s="474"/>
      <c r="S38" s="1606"/>
    </row>
    <row r="39" spans="1:19" s="1057" customFormat="1" ht="15.75" customHeight="1" thickBot="1">
      <c r="A39" s="1203"/>
      <c r="B39" s="1238">
        <f>margins!Z27</f>
        <v>9.125</v>
      </c>
      <c r="C39" s="1423">
        <v>107.90400000000001</v>
      </c>
      <c r="D39" s="1429">
        <v>108.054</v>
      </c>
      <c r="E39" s="1243">
        <v>108.054</v>
      </c>
      <c r="G39" s="1242">
        <f t="shared" si="0"/>
        <v>9.125</v>
      </c>
      <c r="H39" s="1423">
        <v>107.90400000000001</v>
      </c>
      <c r="I39" s="1429">
        <v>108.054</v>
      </c>
      <c r="J39" s="1243">
        <v>108.054</v>
      </c>
      <c r="K39"/>
      <c r="L39" s="1835" t="s">
        <v>707</v>
      </c>
      <c r="M39" s="1835"/>
      <c r="N39" s="1835"/>
      <c r="O39" s="1489"/>
      <c r="Q39" s="1607" t="s">
        <v>219</v>
      </c>
      <c r="R39" s="476"/>
      <c r="S39" s="1608">
        <f>IF(ISNUMBER(MATCH("NA", S19:S36, 0)), "NA", IF(R28="Investor",MIN(S37+S16,VLOOKUP(R32,$L$27:$N$32,3,FALSE)),MIN(S37+S16,N14)))</f>
        <v>102</v>
      </c>
    </row>
    <row r="40" spans="1:19" s="1057" customFormat="1" ht="15.75" thickBot="1">
      <c r="A40" s="1203"/>
      <c r="B40" s="1297"/>
      <c r="C40" s="1444"/>
      <c r="D40" s="1443"/>
      <c r="E40" s="1445"/>
      <c r="G40" s="1242"/>
      <c r="H40" s="1246"/>
      <c r="I40" s="1295"/>
      <c r="J40" s="1245"/>
      <c r="K40"/>
      <c r="L40" s="1835"/>
      <c r="M40" s="1835"/>
      <c r="N40" s="1835"/>
      <c r="O40" s="1489"/>
      <c r="Q40" s="1624"/>
      <c r="S40" s="1625"/>
    </row>
    <row r="41" spans="1:19" s="1057" customFormat="1" ht="15" customHeight="1">
      <c r="A41" s="1203"/>
      <c r="B41" s="1725" t="str">
        <f ca="1">TEXT(TODAY(), "mmmm") &amp; " Special"</f>
        <v>November Special</v>
      </c>
      <c r="C41" s="1819"/>
      <c r="D41" s="1819"/>
      <c r="E41" s="1726"/>
      <c r="F41" s="1062"/>
      <c r="G41" s="1725" t="str">
        <f ca="1">TEXT(TODAY(), "mmmm") &amp; " Special"</f>
        <v>November Special</v>
      </c>
      <c r="H41" s="1819"/>
      <c r="I41" s="1819"/>
      <c r="J41" s="1726"/>
      <c r="K41"/>
      <c r="M41" s="1584"/>
      <c r="N41" s="1584"/>
      <c r="O41" s="1489"/>
      <c r="Q41" s="1611" t="s">
        <v>484</v>
      </c>
      <c r="R41" s="1612"/>
      <c r="S41" s="1613"/>
    </row>
    <row r="42" spans="1:19" s="1057" customFormat="1">
      <c r="A42" s="1203"/>
      <c r="B42" s="1868" t="s">
        <v>57</v>
      </c>
      <c r="C42" s="1869"/>
      <c r="D42" s="1428">
        <v>0.375</v>
      </c>
      <c r="E42" s="1313"/>
      <c r="F42" s="1062"/>
      <c r="G42" s="1868" t="s">
        <v>57</v>
      </c>
      <c r="H42" s="1869"/>
      <c r="I42" s="1428">
        <v>0.375</v>
      </c>
      <c r="J42" s="1313"/>
      <c r="K42"/>
      <c r="L42" s="1584"/>
      <c r="M42" s="1584"/>
      <c r="N42" s="1584"/>
      <c r="O42" s="1489"/>
    </row>
    <row r="43" spans="1:19" s="1057" customFormat="1" ht="15" customHeight="1">
      <c r="A43" s="1203"/>
      <c r="B43" s="1868" t="s">
        <v>59</v>
      </c>
      <c r="C43" s="1869"/>
      <c r="D43" s="1428">
        <v>0.375</v>
      </c>
      <c r="E43" s="1313"/>
      <c r="G43" s="1868" t="s">
        <v>59</v>
      </c>
      <c r="H43" s="1869"/>
      <c r="I43" s="1428">
        <v>0.375</v>
      </c>
      <c r="J43" s="1313"/>
      <c r="K43"/>
      <c r="M43" s="1584"/>
      <c r="N43" s="1584"/>
      <c r="O43" s="1489"/>
    </row>
    <row r="44" spans="1:19" s="1057" customFormat="1">
      <c r="A44" s="1203"/>
      <c r="B44" s="1870"/>
      <c r="C44" s="1871"/>
      <c r="D44" s="1871"/>
      <c r="E44" s="1872"/>
      <c r="G44" s="1870"/>
      <c r="H44" s="1871"/>
      <c r="I44" s="1871"/>
      <c r="J44" s="1872"/>
      <c r="K44"/>
      <c r="L44" s="1584"/>
      <c r="M44" s="1584"/>
      <c r="N44" s="1584"/>
      <c r="O44" s="1489"/>
    </row>
    <row r="45" spans="1:19" s="1057" customFormat="1" ht="15.75" customHeight="1" thickBot="1">
      <c r="A45" s="1203"/>
      <c r="B45" s="1873"/>
      <c r="C45" s="1874"/>
      <c r="D45" s="1874"/>
      <c r="E45" s="1875"/>
      <c r="G45" s="1873"/>
      <c r="H45" s="1874"/>
      <c r="I45" s="1874"/>
      <c r="J45" s="1875"/>
      <c r="K45"/>
      <c r="O45" s="1489"/>
    </row>
    <row r="46" spans="1:19" s="1057" customFormat="1" ht="15.75" thickBot="1">
      <c r="A46" s="1203"/>
      <c r="K46" s="1585"/>
      <c r="L46" s="1584"/>
      <c r="M46" s="1584"/>
      <c r="N46" s="1584"/>
      <c r="O46" s="1489"/>
    </row>
    <row r="47" spans="1:19" s="1057" customFormat="1">
      <c r="A47" s="1203"/>
      <c r="E47" s="1725" t="s">
        <v>744</v>
      </c>
      <c r="F47" s="1819"/>
      <c r="G47" s="1819"/>
      <c r="H47" s="1732"/>
      <c r="K47" s="1585"/>
      <c r="L47" s="1584"/>
      <c r="M47" s="1584"/>
      <c r="N47" s="1584"/>
      <c r="O47" s="1489"/>
    </row>
    <row r="48" spans="1:19" s="1057" customFormat="1">
      <c r="A48" s="1203"/>
      <c r="E48" s="1452" t="s">
        <v>743</v>
      </c>
      <c r="F48" s="1451"/>
      <c r="G48" s="1451"/>
      <c r="H48" s="1453">
        <v>0.25</v>
      </c>
      <c r="K48" s="1585"/>
      <c r="L48" s="1584"/>
      <c r="M48" s="1584"/>
      <c r="N48" s="1584"/>
      <c r="O48" s="1489"/>
    </row>
    <row r="49" spans="1:34" s="1057" customFormat="1">
      <c r="A49" s="1203"/>
      <c r="E49" s="1772" t="s">
        <v>741</v>
      </c>
      <c r="F49" s="1773"/>
      <c r="G49" s="1773"/>
      <c r="H49" s="1883"/>
      <c r="K49" s="1585"/>
      <c r="L49" s="1584"/>
      <c r="M49" s="1584"/>
      <c r="N49" s="1584"/>
      <c r="O49" s="1489"/>
    </row>
    <row r="50" spans="1:34" s="1057" customFormat="1">
      <c r="A50" s="1203"/>
      <c r="E50" s="1775"/>
      <c r="F50" s="1776"/>
      <c r="G50" s="1776"/>
      <c r="H50" s="1774"/>
      <c r="K50" s="1585"/>
      <c r="L50" s="1584"/>
      <c r="M50" s="1584"/>
      <c r="N50" s="1584"/>
      <c r="O50" s="1489"/>
    </row>
    <row r="51" spans="1:34" s="1057" customFormat="1" ht="15.75" thickBot="1">
      <c r="A51" s="1203"/>
      <c r="E51" s="1777"/>
      <c r="F51" s="1778"/>
      <c r="G51" s="1778"/>
      <c r="H51" s="1779"/>
      <c r="O51" s="1489"/>
    </row>
    <row r="52" spans="1:34" s="1057" customFormat="1" ht="15.75" thickBot="1">
      <c r="A52" s="1203"/>
      <c r="E52" s="1586"/>
      <c r="F52" s="1586"/>
      <c r="G52" s="1586"/>
      <c r="H52" s="1586"/>
      <c r="O52" s="1489"/>
    </row>
    <row r="53" spans="1:34" s="1057" customFormat="1" ht="15.75" thickBot="1">
      <c r="A53" s="1203"/>
      <c r="B53" s="1202" t="s">
        <v>764</v>
      </c>
      <c r="D53" s="1204"/>
      <c r="E53" s="1743" t="s">
        <v>329</v>
      </c>
      <c r="F53" s="1744"/>
      <c r="G53" s="1744"/>
      <c r="H53" s="1744"/>
      <c r="I53" s="1744"/>
      <c r="J53" s="1744"/>
      <c r="K53" s="1744"/>
      <c r="L53" s="1744"/>
      <c r="M53" s="1745"/>
      <c r="N53"/>
      <c r="O53" s="1489"/>
    </row>
    <row r="54" spans="1:34" s="1057" customFormat="1" ht="15.75" thickBot="1">
      <c r="A54" s="1203"/>
      <c r="B54" s="1441"/>
      <c r="C54" s="1525"/>
      <c r="D54" s="1455" t="s">
        <v>203</v>
      </c>
      <c r="E54" s="1438" t="s">
        <v>15</v>
      </c>
      <c r="F54" s="1456" t="s">
        <v>16</v>
      </c>
      <c r="G54" s="1456" t="s">
        <v>17</v>
      </c>
      <c r="H54" s="1456" t="s">
        <v>18</v>
      </c>
      <c r="I54" s="1456" t="s">
        <v>19</v>
      </c>
      <c r="J54" s="1456" t="s">
        <v>20</v>
      </c>
      <c r="K54" s="1456" t="s">
        <v>21</v>
      </c>
      <c r="L54" s="1456" t="s">
        <v>22</v>
      </c>
      <c r="M54" s="1457" t="s">
        <v>23</v>
      </c>
      <c r="N54"/>
      <c r="O54" s="1489"/>
    </row>
    <row r="55" spans="1:34" s="1057" customFormat="1">
      <c r="A55" s="1203"/>
      <c r="B55" s="1749" t="s">
        <v>202</v>
      </c>
      <c r="C55" s="1751" t="s">
        <v>37</v>
      </c>
      <c r="D55" s="1751"/>
      <c r="E55" s="1275">
        <v>0.75</v>
      </c>
      <c r="F55" s="1274">
        <v>0.75</v>
      </c>
      <c r="G55" s="1274">
        <v>0.5</v>
      </c>
      <c r="H55" s="1274">
        <v>0.375</v>
      </c>
      <c r="I55" s="1274">
        <v>0.125</v>
      </c>
      <c r="J55" s="1274">
        <v>0</v>
      </c>
      <c r="K55" s="1274">
        <v>-0.125</v>
      </c>
      <c r="L55" s="1274">
        <v>-1.375</v>
      </c>
      <c r="M55" s="1273">
        <v>-2.5</v>
      </c>
      <c r="N55"/>
      <c r="O55" s="1489"/>
    </row>
    <row r="56" spans="1:34" s="1057" customFormat="1">
      <c r="A56" s="1203"/>
      <c r="B56" s="1749"/>
      <c r="C56" s="1715" t="s">
        <v>36</v>
      </c>
      <c r="D56" s="1715"/>
      <c r="E56" s="1216">
        <v>0.75</v>
      </c>
      <c r="F56" s="1215">
        <v>0.75</v>
      </c>
      <c r="G56" s="1215">
        <v>0.5</v>
      </c>
      <c r="H56" s="1215">
        <v>0.375</v>
      </c>
      <c r="I56" s="1215">
        <v>0.125</v>
      </c>
      <c r="J56" s="1215">
        <v>0</v>
      </c>
      <c r="K56" s="1215">
        <v>-0.25</v>
      </c>
      <c r="L56" s="1215">
        <v>-1.5</v>
      </c>
      <c r="M56" s="1214">
        <v>-2.625</v>
      </c>
      <c r="N56"/>
      <c r="O56" s="1489"/>
    </row>
    <row r="57" spans="1:34" s="1057" customFormat="1">
      <c r="A57" s="1203"/>
      <c r="B57" s="1749"/>
      <c r="C57" s="1715" t="s">
        <v>24</v>
      </c>
      <c r="D57" s="1715"/>
      <c r="E57" s="1216">
        <v>0.625</v>
      </c>
      <c r="F57" s="1215">
        <v>0.625</v>
      </c>
      <c r="G57" s="1215">
        <v>0.375</v>
      </c>
      <c r="H57" s="1215">
        <v>0.25</v>
      </c>
      <c r="I57" s="1215">
        <v>0</v>
      </c>
      <c r="J57" s="1215">
        <v>-0.125</v>
      </c>
      <c r="K57" s="1215">
        <v>-0.375</v>
      </c>
      <c r="L57" s="1215">
        <v>-1.875</v>
      </c>
      <c r="M57" s="1214">
        <v>-3.125</v>
      </c>
      <c r="N57"/>
      <c r="O57" s="1489"/>
    </row>
    <row r="58" spans="1:34" s="1057" customFormat="1">
      <c r="A58" s="1203"/>
      <c r="B58" s="1749"/>
      <c r="C58" s="1715" t="s">
        <v>25</v>
      </c>
      <c r="D58" s="1715"/>
      <c r="E58" s="1216">
        <v>0.5</v>
      </c>
      <c r="F58" s="1215">
        <v>0.5</v>
      </c>
      <c r="G58" s="1215">
        <v>0.25</v>
      </c>
      <c r="H58" s="1215">
        <v>0.125</v>
      </c>
      <c r="I58" s="1215">
        <v>-0.125</v>
      </c>
      <c r="J58" s="1215">
        <v>-0.375</v>
      </c>
      <c r="K58" s="1215">
        <v>-0.875</v>
      </c>
      <c r="L58" s="1215">
        <v>-2.25</v>
      </c>
      <c r="M58" s="1214">
        <v>-3.75</v>
      </c>
      <c r="N58"/>
      <c r="O58" s="1489"/>
      <c r="T58" s="1202"/>
      <c r="V58" s="1204"/>
      <c r="W58" s="1"/>
      <c r="X58" s="1224"/>
      <c r="Y58" s="1225"/>
      <c r="Z58" s="1225"/>
      <c r="AA58" s="1226"/>
      <c r="AB58" s="1224"/>
      <c r="AC58" s="1225"/>
      <c r="AD58" s="1225"/>
      <c r="AE58" s="1226"/>
      <c r="AF58" s="1224"/>
      <c r="AG58" s="1225"/>
      <c r="AH58" s="1225"/>
    </row>
    <row r="59" spans="1:34" s="1057" customFormat="1">
      <c r="A59" s="1203"/>
      <c r="B59" s="1749"/>
      <c r="C59" s="1715" t="s">
        <v>26</v>
      </c>
      <c r="D59" s="1715"/>
      <c r="E59" s="1216">
        <v>0.375</v>
      </c>
      <c r="F59" s="1215">
        <v>0.375</v>
      </c>
      <c r="G59" s="1215">
        <v>0.125</v>
      </c>
      <c r="H59" s="1215">
        <v>0</v>
      </c>
      <c r="I59" s="1215">
        <v>-0.5</v>
      </c>
      <c r="J59" s="1215">
        <v>-1</v>
      </c>
      <c r="K59" s="1215">
        <v>-1.375</v>
      </c>
      <c r="L59" s="1215">
        <v>-3.25</v>
      </c>
      <c r="M59" s="1214">
        <v>-4.625</v>
      </c>
      <c r="N59"/>
      <c r="O59" s="1489"/>
    </row>
    <row r="60" spans="1:34" s="1057" customFormat="1">
      <c r="A60" s="1203"/>
      <c r="B60" s="1749"/>
      <c r="C60" s="1715" t="s">
        <v>27</v>
      </c>
      <c r="D60" s="1715"/>
      <c r="E60" s="1216">
        <v>0.375</v>
      </c>
      <c r="F60" s="1215">
        <v>0.375</v>
      </c>
      <c r="G60" s="1215">
        <v>0</v>
      </c>
      <c r="H60" s="1215">
        <v>-0.375</v>
      </c>
      <c r="I60" s="1215">
        <v>-0.875</v>
      </c>
      <c r="J60" s="1215">
        <v>-1.75</v>
      </c>
      <c r="K60" s="1215">
        <v>-2.125</v>
      </c>
      <c r="L60" s="1215">
        <v>-4</v>
      </c>
      <c r="M60" s="1214">
        <v>-5.875</v>
      </c>
      <c r="N60"/>
      <c r="O60" s="1489"/>
    </row>
    <row r="61" spans="1:34" s="1057" customFormat="1" ht="15" customHeight="1">
      <c r="A61" s="1203"/>
      <c r="B61" s="1749"/>
      <c r="C61" s="1715" t="s">
        <v>28</v>
      </c>
      <c r="D61" s="1715"/>
      <c r="E61" s="1216">
        <v>-0.25</v>
      </c>
      <c r="F61" s="1215">
        <v>-0.5</v>
      </c>
      <c r="G61" s="1215">
        <v>-0.75</v>
      </c>
      <c r="H61" s="1215">
        <v>-1.25</v>
      </c>
      <c r="I61" s="1215">
        <v>-2</v>
      </c>
      <c r="J61" s="1215">
        <v>-2.5</v>
      </c>
      <c r="K61" s="1215">
        <v>-3.125</v>
      </c>
      <c r="L61" s="1215" t="s">
        <v>14</v>
      </c>
      <c r="M61" s="1214" t="s">
        <v>14</v>
      </c>
      <c r="N61"/>
      <c r="O61" s="1489"/>
    </row>
    <row r="62" spans="1:34" s="1057" customFormat="1" ht="15" customHeight="1">
      <c r="A62" s="1203"/>
      <c r="B62" s="1749"/>
      <c r="C62" s="1715" t="s">
        <v>81</v>
      </c>
      <c r="D62" s="1715"/>
      <c r="E62" s="1216">
        <v>-1</v>
      </c>
      <c r="F62" s="1215">
        <v>-1</v>
      </c>
      <c r="G62" s="1215">
        <v>-1</v>
      </c>
      <c r="H62" s="1215">
        <v>-1.25</v>
      </c>
      <c r="I62" s="1215">
        <v>-2</v>
      </c>
      <c r="J62" s="1215">
        <v>-2.625</v>
      </c>
      <c r="K62" s="1215">
        <v>-3</v>
      </c>
      <c r="L62" s="1215" t="s">
        <v>14</v>
      </c>
      <c r="M62" s="1214" t="s">
        <v>14</v>
      </c>
      <c r="N62"/>
      <c r="O62" s="1489"/>
    </row>
    <row r="63" spans="1:34" s="1057" customFormat="1" ht="15" customHeight="1" thickBot="1">
      <c r="A63" s="1203"/>
      <c r="B63" s="1789"/>
      <c r="C63" s="1715" t="s">
        <v>82</v>
      </c>
      <c r="D63" s="1715"/>
      <c r="E63" s="1216">
        <v>-2</v>
      </c>
      <c r="F63" s="1215">
        <v>-2</v>
      </c>
      <c r="G63" s="1215">
        <v>-2</v>
      </c>
      <c r="H63" s="1215">
        <v>-2.25</v>
      </c>
      <c r="I63" s="1215">
        <v>-2.75</v>
      </c>
      <c r="J63" s="1215">
        <v>-4.5</v>
      </c>
      <c r="K63" s="1215">
        <v>-5</v>
      </c>
      <c r="L63" s="1215" t="s">
        <v>14</v>
      </c>
      <c r="M63" s="1214" t="s">
        <v>14</v>
      </c>
      <c r="N63"/>
      <c r="O63" s="1489"/>
    </row>
    <row r="64" spans="1:34" s="1057" customFormat="1" ht="15.75" thickBot="1">
      <c r="A64" s="1203"/>
      <c r="B64" s="1708" t="s">
        <v>780</v>
      </c>
      <c r="C64" s="1709"/>
      <c r="D64" s="1710"/>
      <c r="E64" s="1219">
        <v>0</v>
      </c>
      <c r="F64" s="1218">
        <v>0</v>
      </c>
      <c r="G64" s="1218">
        <v>0</v>
      </c>
      <c r="H64" s="1218">
        <v>0</v>
      </c>
      <c r="I64" s="1218">
        <v>0</v>
      </c>
      <c r="J64" s="1218">
        <v>0</v>
      </c>
      <c r="K64" s="1218">
        <v>0</v>
      </c>
      <c r="L64" s="1218">
        <v>-0.25</v>
      </c>
      <c r="M64" s="1217">
        <v>-0.375</v>
      </c>
      <c r="N64"/>
      <c r="O64" s="1489"/>
    </row>
    <row r="65" spans="1:15" s="1057" customFormat="1" ht="15.75" thickBot="1">
      <c r="A65" s="1203"/>
      <c r="N65"/>
      <c r="O65" s="1489"/>
    </row>
    <row r="66" spans="1:15" s="1057" customFormat="1" ht="15.75" thickBot="1">
      <c r="A66" s="1203"/>
      <c r="B66" s="1202" t="s">
        <v>765</v>
      </c>
      <c r="D66" s="1204"/>
      <c r="E66" s="1743" t="s">
        <v>329</v>
      </c>
      <c r="F66" s="1744"/>
      <c r="G66" s="1744"/>
      <c r="H66" s="1744"/>
      <c r="I66" s="1744"/>
      <c r="J66" s="1744"/>
      <c r="K66" s="1744"/>
      <c r="L66" s="1744"/>
      <c r="M66" s="1745"/>
      <c r="N66"/>
      <c r="O66" s="1489"/>
    </row>
    <row r="67" spans="1:15" s="1057" customFormat="1" ht="15.75" thickBot="1">
      <c r="A67" s="1203"/>
      <c r="B67" s="1441"/>
      <c r="C67" s="1709"/>
      <c r="D67" s="1710"/>
      <c r="E67" s="1282" t="s">
        <v>15</v>
      </c>
      <c r="F67" s="1281" t="s">
        <v>16</v>
      </c>
      <c r="G67" s="1281" t="s">
        <v>17</v>
      </c>
      <c r="H67" s="1281" t="s">
        <v>18</v>
      </c>
      <c r="I67" s="1281" t="s">
        <v>19</v>
      </c>
      <c r="J67" s="1442" t="s">
        <v>20</v>
      </c>
      <c r="K67" s="1281" t="s">
        <v>21</v>
      </c>
      <c r="L67" s="1281" t="s">
        <v>22</v>
      </c>
      <c r="M67" s="1280" t="s">
        <v>23</v>
      </c>
      <c r="N67"/>
      <c r="O67" s="1489"/>
    </row>
    <row r="68" spans="1:15" s="1057" customFormat="1">
      <c r="A68" s="1203"/>
      <c r="B68" s="1446"/>
      <c r="C68" s="1751" t="s">
        <v>37</v>
      </c>
      <c r="D68" s="1752"/>
      <c r="E68" s="1216">
        <v>0.875</v>
      </c>
      <c r="F68" s="1215">
        <v>0.875</v>
      </c>
      <c r="G68" s="1215">
        <v>0.625</v>
      </c>
      <c r="H68" s="1215">
        <v>0.5</v>
      </c>
      <c r="I68" s="1215">
        <v>0.25</v>
      </c>
      <c r="J68" s="1215">
        <v>0</v>
      </c>
      <c r="K68" s="1215">
        <v>-0.25</v>
      </c>
      <c r="L68" s="1215">
        <v>-1.5</v>
      </c>
      <c r="M68" s="1214">
        <v>-2.75</v>
      </c>
      <c r="N68"/>
      <c r="O68" s="1489"/>
    </row>
    <row r="69" spans="1:15" s="1057" customFormat="1">
      <c r="A69" s="1203"/>
      <c r="B69" s="1446" t="s">
        <v>5</v>
      </c>
      <c r="C69" s="1715" t="s">
        <v>36</v>
      </c>
      <c r="D69" s="1716"/>
      <c r="E69" s="1216">
        <v>0.875</v>
      </c>
      <c r="F69" s="1215">
        <v>0.875</v>
      </c>
      <c r="G69" s="1215">
        <v>0.625</v>
      </c>
      <c r="H69" s="1215">
        <v>0.5</v>
      </c>
      <c r="I69" s="1215">
        <v>0.25</v>
      </c>
      <c r="J69" s="1215">
        <v>0</v>
      </c>
      <c r="K69" s="1215">
        <v>-0.375</v>
      </c>
      <c r="L69" s="1215">
        <v>-1.625</v>
      </c>
      <c r="M69" s="1214">
        <v>-2.875</v>
      </c>
      <c r="N69"/>
      <c r="O69" s="1489"/>
    </row>
    <row r="70" spans="1:15" s="1057" customFormat="1" ht="22.5">
      <c r="A70" s="1203"/>
      <c r="B70" s="1447" t="s">
        <v>38</v>
      </c>
      <c r="C70" s="1715" t="s">
        <v>24</v>
      </c>
      <c r="D70" s="1716"/>
      <c r="E70" s="1216">
        <v>0.75</v>
      </c>
      <c r="F70" s="1215">
        <v>0.75</v>
      </c>
      <c r="G70" s="1215">
        <v>0.5</v>
      </c>
      <c r="H70" s="1215">
        <v>0.375</v>
      </c>
      <c r="I70" s="1215">
        <v>0.125</v>
      </c>
      <c r="J70" s="1215">
        <v>-0.125</v>
      </c>
      <c r="K70" s="1215">
        <v>-0.5</v>
      </c>
      <c r="L70" s="1215">
        <v>-2.125</v>
      </c>
      <c r="M70" s="1214">
        <v>-3.5</v>
      </c>
      <c r="N70"/>
      <c r="O70" s="1489"/>
    </row>
    <row r="71" spans="1:15" s="1057" customFormat="1" ht="22.5">
      <c r="A71" s="1203"/>
      <c r="B71" s="1447" t="s">
        <v>734</v>
      </c>
      <c r="C71" s="1715" t="s">
        <v>25</v>
      </c>
      <c r="D71" s="1716"/>
      <c r="E71" s="1216">
        <v>0.625</v>
      </c>
      <c r="F71" s="1215">
        <v>0.625</v>
      </c>
      <c r="G71" s="1215">
        <v>0.375</v>
      </c>
      <c r="H71" s="1215">
        <v>0.25</v>
      </c>
      <c r="I71" s="1215">
        <v>0</v>
      </c>
      <c r="J71" s="1215">
        <v>-0.5</v>
      </c>
      <c r="K71" s="1215">
        <v>-1.125</v>
      </c>
      <c r="L71" s="1215">
        <v>-2.625</v>
      </c>
      <c r="M71" s="1214">
        <v>-4.125</v>
      </c>
      <c r="N71"/>
      <c r="O71" s="1489"/>
    </row>
    <row r="72" spans="1:15" s="1057" customFormat="1">
      <c r="A72" s="1203"/>
      <c r="B72" s="1446" t="s">
        <v>39</v>
      </c>
      <c r="C72" s="1715" t="s">
        <v>26</v>
      </c>
      <c r="D72" s="1716"/>
      <c r="E72" s="1216">
        <v>0.5</v>
      </c>
      <c r="F72" s="1215">
        <v>0.5</v>
      </c>
      <c r="G72" s="1215">
        <v>0.25</v>
      </c>
      <c r="H72" s="1215">
        <v>0.125</v>
      </c>
      <c r="I72" s="1215">
        <v>-0.375</v>
      </c>
      <c r="J72" s="1215">
        <v>-1.125</v>
      </c>
      <c r="K72" s="1215">
        <v>-1.625</v>
      </c>
      <c r="L72" s="1215">
        <v>-3.625</v>
      </c>
      <c r="M72" s="1214">
        <v>-5.125</v>
      </c>
      <c r="N72"/>
      <c r="O72" s="1489"/>
    </row>
    <row r="73" spans="1:15" s="1057" customFormat="1">
      <c r="A73" s="1203"/>
      <c r="B73" s="1446" t="s">
        <v>40</v>
      </c>
      <c r="C73" s="1715" t="s">
        <v>27</v>
      </c>
      <c r="D73" s="1716"/>
      <c r="E73" s="1216">
        <v>0.375</v>
      </c>
      <c r="F73" s="1215">
        <v>0.375</v>
      </c>
      <c r="G73" s="1215">
        <v>0</v>
      </c>
      <c r="H73" s="1215">
        <v>-0.5</v>
      </c>
      <c r="I73" s="1215">
        <v>-0.875</v>
      </c>
      <c r="J73" s="1215">
        <v>-2</v>
      </c>
      <c r="K73" s="1215">
        <v>-2.625</v>
      </c>
      <c r="L73" s="1215">
        <v>-4.5</v>
      </c>
      <c r="M73" s="1214">
        <v>-6</v>
      </c>
      <c r="N73"/>
      <c r="O73" s="1489"/>
    </row>
    <row r="74" spans="1:15" s="1057" customFormat="1">
      <c r="A74" s="1203"/>
      <c r="B74" s="1446" t="s">
        <v>89</v>
      </c>
      <c r="C74" s="1741" t="s">
        <v>28</v>
      </c>
      <c r="D74" s="1742"/>
      <c r="E74" s="1294">
        <v>-0.25</v>
      </c>
      <c r="F74" s="1293">
        <v>-0.5</v>
      </c>
      <c r="G74" s="1293">
        <v>-0.875</v>
      </c>
      <c r="H74" s="1293">
        <v>-1.375</v>
      </c>
      <c r="I74" s="1293">
        <v>-2.25</v>
      </c>
      <c r="J74" s="1293">
        <v>-2.75</v>
      </c>
      <c r="K74" s="1293">
        <v>-3.375</v>
      </c>
      <c r="L74" s="1293" t="s">
        <v>14</v>
      </c>
      <c r="M74" s="1292" t="s">
        <v>14</v>
      </c>
      <c r="N74"/>
      <c r="O74" s="1489"/>
    </row>
    <row r="75" spans="1:15" s="1057" customFormat="1">
      <c r="A75" s="1203"/>
      <c r="B75" s="1435"/>
      <c r="C75" s="1715" t="s">
        <v>81</v>
      </c>
      <c r="D75" s="1715"/>
      <c r="E75" s="1294">
        <v>-1</v>
      </c>
      <c r="F75" s="1293">
        <v>-1</v>
      </c>
      <c r="G75" s="1293">
        <v>-1</v>
      </c>
      <c r="H75" s="1293">
        <v>-1.625</v>
      </c>
      <c r="I75" s="1293">
        <v>-2.5</v>
      </c>
      <c r="J75" s="1293">
        <v>-2.75</v>
      </c>
      <c r="K75" s="1293">
        <v>-3.75</v>
      </c>
      <c r="L75" s="1293" t="s">
        <v>14</v>
      </c>
      <c r="M75" s="1292" t="s">
        <v>14</v>
      </c>
      <c r="N75"/>
      <c r="O75" s="1489"/>
    </row>
    <row r="76" spans="1:15" s="1057" customFormat="1" ht="15.75" thickBot="1">
      <c r="A76" s="1203"/>
      <c r="B76" s="1436"/>
      <c r="C76" s="1715" t="s">
        <v>82</v>
      </c>
      <c r="D76" s="1715"/>
      <c r="E76" s="1294">
        <v>-2.25</v>
      </c>
      <c r="F76" s="1293">
        <v>-2.25</v>
      </c>
      <c r="G76" s="1293">
        <v>-2.25</v>
      </c>
      <c r="H76" s="1293">
        <v>-2.5</v>
      </c>
      <c r="I76" s="1293">
        <v>-3</v>
      </c>
      <c r="J76" s="1293">
        <v>-4.75</v>
      </c>
      <c r="K76" s="1293">
        <v>-5.5</v>
      </c>
      <c r="L76" s="1293" t="s">
        <v>14</v>
      </c>
      <c r="M76" s="1292" t="s">
        <v>14</v>
      </c>
      <c r="N76"/>
      <c r="O76" s="1489"/>
    </row>
    <row r="77" spans="1:15" s="1057" customFormat="1">
      <c r="A77" s="1203"/>
      <c r="B77" s="1746" t="s">
        <v>737</v>
      </c>
      <c r="C77" s="1718" t="s">
        <v>43</v>
      </c>
      <c r="D77" s="1719"/>
      <c r="E77" s="1213">
        <v>0</v>
      </c>
      <c r="F77" s="1212">
        <v>0</v>
      </c>
      <c r="G77" s="1212">
        <v>0</v>
      </c>
      <c r="H77" s="1212">
        <v>0</v>
      </c>
      <c r="I77" s="1212">
        <v>0</v>
      </c>
      <c r="J77" s="1212">
        <v>0</v>
      </c>
      <c r="K77" s="1212">
        <v>0</v>
      </c>
      <c r="L77" s="1212">
        <v>-0.25</v>
      </c>
      <c r="M77" s="1211">
        <v>-0.375</v>
      </c>
      <c r="N77"/>
      <c r="O77" s="1489"/>
    </row>
    <row r="78" spans="1:15" s="1057" customFormat="1" ht="15" customHeight="1">
      <c r="A78" s="1203"/>
      <c r="B78" s="1747"/>
      <c r="C78" s="1715" t="s">
        <v>44</v>
      </c>
      <c r="D78" s="1716"/>
      <c r="E78" s="1216">
        <v>0</v>
      </c>
      <c r="F78" s="1215">
        <v>0</v>
      </c>
      <c r="G78" s="1215">
        <v>0</v>
      </c>
      <c r="H78" s="1215">
        <v>0</v>
      </c>
      <c r="I78" s="1215">
        <v>0</v>
      </c>
      <c r="J78" s="1215">
        <v>0</v>
      </c>
      <c r="K78" s="1215">
        <v>0</v>
      </c>
      <c r="L78" s="1215">
        <v>-0.25</v>
      </c>
      <c r="M78" s="1214">
        <v>-0.375</v>
      </c>
      <c r="N78"/>
      <c r="O78" s="1489"/>
    </row>
    <row r="79" spans="1:15" s="1057" customFormat="1">
      <c r="A79" s="1203"/>
      <c r="B79" s="1747"/>
      <c r="C79" s="1715" t="s">
        <v>663</v>
      </c>
      <c r="D79" s="1716"/>
      <c r="E79" s="1216">
        <v>-0.625</v>
      </c>
      <c r="F79" s="1215">
        <v>-0.625</v>
      </c>
      <c r="G79" s="1215">
        <v>-0.625</v>
      </c>
      <c r="H79" s="1215">
        <v>-0.625</v>
      </c>
      <c r="I79" s="1215">
        <v>-0.625</v>
      </c>
      <c r="J79" s="1215">
        <v>-0.625</v>
      </c>
      <c r="K79" s="1215">
        <v>-0.625</v>
      </c>
      <c r="L79" s="1215">
        <v>-2.75</v>
      </c>
      <c r="M79" s="1214" t="s">
        <v>14</v>
      </c>
      <c r="N79"/>
      <c r="O79" s="1489"/>
    </row>
    <row r="80" spans="1:15" s="1057" customFormat="1">
      <c r="A80" s="1203"/>
      <c r="B80" s="1747"/>
      <c r="C80" s="1715" t="s">
        <v>735</v>
      </c>
      <c r="D80" s="1716"/>
      <c r="E80" s="1216">
        <v>-0.875</v>
      </c>
      <c r="F80" s="1215">
        <v>-0.875</v>
      </c>
      <c r="G80" s="1215">
        <v>-0.875</v>
      </c>
      <c r="H80" s="1215">
        <v>-0.875</v>
      </c>
      <c r="I80" s="1215">
        <v>-0.875</v>
      </c>
      <c r="J80" s="1215">
        <v>-1</v>
      </c>
      <c r="K80" s="1215">
        <v>-1.125</v>
      </c>
      <c r="L80" s="1215">
        <v>-4.125</v>
      </c>
      <c r="M80" s="1214" t="s">
        <v>14</v>
      </c>
      <c r="N80"/>
      <c r="O80" s="1489"/>
    </row>
    <row r="81" spans="1:15" s="1057" customFormat="1" ht="32.25" customHeight="1" thickBot="1">
      <c r="A81" s="1203"/>
      <c r="B81" s="1748"/>
      <c r="C81" s="1864" t="s">
        <v>736</v>
      </c>
      <c r="D81" s="1865"/>
      <c r="E81" s="1278">
        <v>0</v>
      </c>
      <c r="F81" s="1277">
        <v>0</v>
      </c>
      <c r="G81" s="1277">
        <v>0</v>
      </c>
      <c r="H81" s="1277">
        <v>0</v>
      </c>
      <c r="I81" s="1277">
        <v>-0.125</v>
      </c>
      <c r="J81" s="1277">
        <v>-0.25</v>
      </c>
      <c r="K81" s="1277">
        <v>-0.375</v>
      </c>
      <c r="L81" s="1277">
        <v>-0.5</v>
      </c>
      <c r="M81" s="1276" t="s">
        <v>14</v>
      </c>
      <c r="N81"/>
      <c r="O81" s="1489"/>
    </row>
    <row r="82" spans="1:15" s="1057" customFormat="1" ht="15.75" thickBot="1">
      <c r="A82" s="1203"/>
      <c r="N82"/>
      <c r="O82" s="1489"/>
    </row>
    <row r="83" spans="1:15" s="1057" customFormat="1" ht="15.75" thickBot="1">
      <c r="A83" s="1203"/>
      <c r="B83" s="1202" t="s">
        <v>763</v>
      </c>
      <c r="D83" s="1204"/>
      <c r="E83" s="1743" t="s">
        <v>329</v>
      </c>
      <c r="F83" s="1744"/>
      <c r="G83" s="1744"/>
      <c r="H83" s="1744"/>
      <c r="I83" s="1744"/>
      <c r="J83" s="1744"/>
      <c r="K83" s="1744"/>
      <c r="L83" s="1744"/>
      <c r="M83" s="1745"/>
      <c r="N83"/>
      <c r="O83" s="1489"/>
    </row>
    <row r="84" spans="1:15" s="1057" customFormat="1" ht="15.75" thickBot="1">
      <c r="A84" s="1203"/>
      <c r="B84" s="1431"/>
      <c r="C84" s="1424"/>
      <c r="D84" s="1424"/>
      <c r="E84" s="1316" t="s">
        <v>15</v>
      </c>
      <c r="F84" s="1317" t="s">
        <v>16</v>
      </c>
      <c r="G84" s="1317" t="s">
        <v>17</v>
      </c>
      <c r="H84" s="1317" t="s">
        <v>18</v>
      </c>
      <c r="I84" s="1317" t="s">
        <v>19</v>
      </c>
      <c r="J84" s="1317" t="s">
        <v>20</v>
      </c>
      <c r="K84" s="1317" t="s">
        <v>21</v>
      </c>
      <c r="L84" s="1317" t="s">
        <v>22</v>
      </c>
      <c r="M84" s="1318" t="s">
        <v>23</v>
      </c>
      <c r="N84"/>
      <c r="O84" s="1489"/>
    </row>
    <row r="85" spans="1:15" s="1057" customFormat="1">
      <c r="A85" s="1203"/>
      <c r="B85" s="1788" t="s">
        <v>72</v>
      </c>
      <c r="C85" s="1856" t="s">
        <v>73</v>
      </c>
      <c r="D85" s="1857"/>
      <c r="E85" s="1339">
        <v>-0.125</v>
      </c>
      <c r="F85" s="1339">
        <v>-0.25</v>
      </c>
      <c r="G85" s="1339">
        <v>-0.25</v>
      </c>
      <c r="H85" s="1339">
        <v>-0.375</v>
      </c>
      <c r="I85" s="1339">
        <v>-0.375</v>
      </c>
      <c r="J85" s="1339">
        <v>-0.375</v>
      </c>
      <c r="K85" s="1339">
        <v>-0.5</v>
      </c>
      <c r="L85" s="1339">
        <v>-0.5</v>
      </c>
      <c r="M85" s="1340" t="s">
        <v>14</v>
      </c>
      <c r="N85"/>
      <c r="O85" s="1489"/>
    </row>
    <row r="86" spans="1:15" s="1057" customFormat="1">
      <c r="A86" s="1203"/>
      <c r="B86" s="1749"/>
      <c r="C86" s="1854" t="s">
        <v>74</v>
      </c>
      <c r="D86" s="1855"/>
      <c r="E86" s="1279">
        <v>-0.875</v>
      </c>
      <c r="F86" s="1279">
        <v>-0.875</v>
      </c>
      <c r="G86" s="1279">
        <v>-0.875</v>
      </c>
      <c r="H86" s="1279">
        <v>-0.875</v>
      </c>
      <c r="I86" s="1279">
        <v>-0.875</v>
      </c>
      <c r="J86" s="1279">
        <v>-1.125</v>
      </c>
      <c r="K86" s="1279">
        <v>-1.125</v>
      </c>
      <c r="L86" s="1279" t="s">
        <v>14</v>
      </c>
      <c r="M86" s="1434" t="s">
        <v>14</v>
      </c>
      <c r="N86"/>
      <c r="O86" s="1489"/>
    </row>
    <row r="87" spans="1:15" s="1057" customFormat="1" ht="15.75" thickBot="1">
      <c r="A87" s="1203"/>
      <c r="B87" s="1749"/>
      <c r="C87" s="1854" t="s">
        <v>75</v>
      </c>
      <c r="D87" s="1855"/>
      <c r="E87" s="1279">
        <v>-1.25</v>
      </c>
      <c r="F87" s="1279">
        <v>-1.25</v>
      </c>
      <c r="G87" s="1279">
        <v>-1.25</v>
      </c>
      <c r="H87" s="1279">
        <v>-1.25</v>
      </c>
      <c r="I87" s="1279">
        <v>-1.5</v>
      </c>
      <c r="J87" s="1279" t="s">
        <v>14</v>
      </c>
      <c r="K87" s="1279" t="s">
        <v>14</v>
      </c>
      <c r="L87" s="1279" t="s">
        <v>14</v>
      </c>
      <c r="M87" s="1434" t="s">
        <v>14</v>
      </c>
      <c r="N87"/>
      <c r="O87" s="1489"/>
    </row>
    <row r="88" spans="1:15" s="1057" customFormat="1">
      <c r="A88" s="1203"/>
      <c r="B88" s="1746" t="s">
        <v>739</v>
      </c>
      <c r="C88" s="1856" t="s">
        <v>77</v>
      </c>
      <c r="D88" s="1857"/>
      <c r="E88" s="1339">
        <v>0</v>
      </c>
      <c r="F88" s="1339">
        <v>0</v>
      </c>
      <c r="G88" s="1339">
        <v>0</v>
      </c>
      <c r="H88" s="1339">
        <v>0</v>
      </c>
      <c r="I88" s="1339">
        <v>0</v>
      </c>
      <c r="J88" s="1339">
        <v>0</v>
      </c>
      <c r="K88" s="1339">
        <v>0</v>
      </c>
      <c r="L88" s="1339">
        <v>0</v>
      </c>
      <c r="M88" s="1340" t="s">
        <v>14</v>
      </c>
      <c r="N88"/>
      <c r="O88" s="1489"/>
    </row>
    <row r="89" spans="1:15" s="1057" customFormat="1">
      <c r="A89" s="1203"/>
      <c r="B89" s="1747"/>
      <c r="C89" s="1854" t="s">
        <v>79</v>
      </c>
      <c r="D89" s="1855"/>
      <c r="E89" s="1279">
        <v>-0.75</v>
      </c>
      <c r="F89" s="1279">
        <v>-0.75</v>
      </c>
      <c r="G89" s="1279">
        <v>-0.75</v>
      </c>
      <c r="H89" s="1279">
        <v>-0.75</v>
      </c>
      <c r="I89" s="1279">
        <v>-0.75</v>
      </c>
      <c r="J89" s="1279">
        <v>-0.75</v>
      </c>
      <c r="K89" s="1279">
        <v>-0.75</v>
      </c>
      <c r="L89" s="1279" t="s">
        <v>14</v>
      </c>
      <c r="M89" s="1434" t="s">
        <v>14</v>
      </c>
      <c r="N89"/>
      <c r="O89" s="1489"/>
    </row>
    <row r="90" spans="1:15" s="1057" customFormat="1" ht="15.75" thickBot="1">
      <c r="A90" s="1203"/>
      <c r="B90" s="1748"/>
      <c r="C90" s="1858" t="s">
        <v>80</v>
      </c>
      <c r="D90" s="1859"/>
      <c r="E90" s="1208">
        <v>-1</v>
      </c>
      <c r="F90" s="1208">
        <v>-1</v>
      </c>
      <c r="G90" s="1208">
        <v>-1</v>
      </c>
      <c r="H90" s="1208">
        <v>-1</v>
      </c>
      <c r="I90" s="1208">
        <v>-1</v>
      </c>
      <c r="J90" s="1208" t="s">
        <v>14</v>
      </c>
      <c r="K90" s="1208" t="s">
        <v>14</v>
      </c>
      <c r="L90" s="1208" t="s">
        <v>14</v>
      </c>
      <c r="M90" s="1207" t="s">
        <v>14</v>
      </c>
      <c r="N90"/>
      <c r="O90" s="1489"/>
    </row>
    <row r="91" spans="1:15" s="1057" customFormat="1">
      <c r="A91" s="1203"/>
      <c r="B91" s="1788" t="s">
        <v>45</v>
      </c>
      <c r="C91" s="1856" t="s">
        <v>46</v>
      </c>
      <c r="D91" s="1857"/>
      <c r="E91" s="1338">
        <v>0</v>
      </c>
      <c r="F91" s="1339">
        <v>0</v>
      </c>
      <c r="G91" s="1339">
        <v>0</v>
      </c>
      <c r="H91" s="1339">
        <v>0</v>
      </c>
      <c r="I91" s="1339">
        <v>0</v>
      </c>
      <c r="J91" s="1339">
        <v>0</v>
      </c>
      <c r="K91" s="1339">
        <v>0</v>
      </c>
      <c r="L91" s="1339">
        <v>-0.25</v>
      </c>
      <c r="M91" s="1340">
        <v>-0.25</v>
      </c>
      <c r="N91"/>
      <c r="O91" s="1489"/>
    </row>
    <row r="92" spans="1:15" s="1057" customFormat="1" ht="15.75" thickBot="1">
      <c r="A92" s="1203"/>
      <c r="B92" s="1789"/>
      <c r="C92" s="1858" t="s">
        <v>738</v>
      </c>
      <c r="D92" s="1859"/>
      <c r="E92" s="1209">
        <v>-0.125</v>
      </c>
      <c r="F92" s="1208">
        <v>-0.125</v>
      </c>
      <c r="G92" s="1208">
        <v>-0.125</v>
      </c>
      <c r="H92" s="1208">
        <v>-0.125</v>
      </c>
      <c r="I92" s="1208">
        <v>-0.25</v>
      </c>
      <c r="J92" s="1208" t="s">
        <v>14</v>
      </c>
      <c r="K92" s="1208" t="s">
        <v>14</v>
      </c>
      <c r="L92" s="1208" t="s">
        <v>14</v>
      </c>
      <c r="M92" s="1207" t="s">
        <v>14</v>
      </c>
      <c r="N92"/>
      <c r="O92" s="1489"/>
    </row>
    <row r="93" spans="1:15" s="1057" customFormat="1">
      <c r="A93" s="1203"/>
      <c r="B93" s="1788" t="s">
        <v>47</v>
      </c>
      <c r="C93" s="1862" t="s">
        <v>492</v>
      </c>
      <c r="D93" s="1863"/>
      <c r="E93" s="1213">
        <v>-0.75</v>
      </c>
      <c r="F93" s="1212">
        <v>-0.75</v>
      </c>
      <c r="G93" s="1212">
        <v>-0.75</v>
      </c>
      <c r="H93" s="1212">
        <v>-0.875</v>
      </c>
      <c r="I93" s="1212">
        <v>-1</v>
      </c>
      <c r="J93" s="1212">
        <v>-1.125</v>
      </c>
      <c r="K93" s="1212">
        <v>-1.25</v>
      </c>
      <c r="L93" s="1212">
        <v>-1.375</v>
      </c>
      <c r="M93" s="1211">
        <v>-1.5</v>
      </c>
      <c r="N93"/>
      <c r="O93" s="1489"/>
    </row>
    <row r="94" spans="1:15" s="1057" customFormat="1">
      <c r="A94" s="1203"/>
      <c r="B94" s="1749"/>
      <c r="C94" s="1860" t="s">
        <v>131</v>
      </c>
      <c r="D94" s="1861"/>
      <c r="E94" s="1216">
        <v>-0.25</v>
      </c>
      <c r="F94" s="1215">
        <v>-0.25</v>
      </c>
      <c r="G94" s="1215">
        <v>-0.25</v>
      </c>
      <c r="H94" s="1215">
        <v>-0.25</v>
      </c>
      <c r="I94" s="1215">
        <v>-0.5</v>
      </c>
      <c r="J94" s="1215">
        <v>-0.5</v>
      </c>
      <c r="K94" s="1215">
        <v>-0.5</v>
      </c>
      <c r="L94" s="1215">
        <v>-0.75</v>
      </c>
      <c r="M94" s="1214">
        <v>-0.875</v>
      </c>
      <c r="N94"/>
      <c r="O94" s="1489"/>
    </row>
    <row r="95" spans="1:15" s="1057" customFormat="1">
      <c r="A95" s="1203"/>
      <c r="B95" s="1749"/>
      <c r="C95" s="1860" t="s">
        <v>48</v>
      </c>
      <c r="D95" s="1861"/>
      <c r="E95" s="1216">
        <v>0</v>
      </c>
      <c r="F95" s="1215">
        <v>0</v>
      </c>
      <c r="G95" s="1215">
        <v>0</v>
      </c>
      <c r="H95" s="1215">
        <v>0</v>
      </c>
      <c r="I95" s="1215">
        <v>0</v>
      </c>
      <c r="J95" s="1215">
        <v>0</v>
      </c>
      <c r="K95" s="1215">
        <v>0</v>
      </c>
      <c r="L95" s="1215">
        <v>0</v>
      </c>
      <c r="M95" s="1214">
        <v>0</v>
      </c>
      <c r="N95"/>
      <c r="O95" s="1489"/>
    </row>
    <row r="96" spans="1:15" s="1057" customFormat="1" ht="15" customHeight="1">
      <c r="A96" s="1203"/>
      <c r="B96" s="1749"/>
      <c r="C96" s="1860" t="s">
        <v>49</v>
      </c>
      <c r="D96" s="1861"/>
      <c r="E96" s="1216">
        <v>0.125</v>
      </c>
      <c r="F96" s="1215">
        <v>0.125</v>
      </c>
      <c r="G96" s="1215">
        <v>0.125</v>
      </c>
      <c r="H96" s="1215">
        <v>0.125</v>
      </c>
      <c r="I96" s="1215">
        <v>0.125</v>
      </c>
      <c r="J96" s="1215">
        <v>0.125</v>
      </c>
      <c r="K96" s="1215">
        <v>0.125</v>
      </c>
      <c r="L96" s="1215">
        <v>0</v>
      </c>
      <c r="M96" s="1214">
        <v>0</v>
      </c>
      <c r="N96"/>
      <c r="O96" s="1489"/>
    </row>
    <row r="97" spans="1:15" s="1057" customFormat="1">
      <c r="A97" s="1203"/>
      <c r="B97" s="1749"/>
      <c r="C97" s="1860" t="s">
        <v>50</v>
      </c>
      <c r="D97" s="1861"/>
      <c r="E97" s="1216">
        <v>0.125</v>
      </c>
      <c r="F97" s="1215">
        <v>0.125</v>
      </c>
      <c r="G97" s="1215">
        <v>0.125</v>
      </c>
      <c r="H97" s="1215">
        <v>0.125</v>
      </c>
      <c r="I97" s="1215">
        <v>0.125</v>
      </c>
      <c r="J97" s="1215">
        <v>0.125</v>
      </c>
      <c r="K97" s="1215">
        <v>0</v>
      </c>
      <c r="L97" s="1215">
        <v>0</v>
      </c>
      <c r="M97" s="1214">
        <v>-0.25</v>
      </c>
      <c r="N97"/>
      <c r="O97" s="1489"/>
    </row>
    <row r="98" spans="1:15" s="1057" customFormat="1">
      <c r="A98" s="1203"/>
      <c r="B98" s="1749"/>
      <c r="C98" s="1860" t="s">
        <v>51</v>
      </c>
      <c r="D98" s="1861"/>
      <c r="E98" s="1216">
        <v>0</v>
      </c>
      <c r="F98" s="1215">
        <v>0</v>
      </c>
      <c r="G98" s="1215">
        <v>0</v>
      </c>
      <c r="H98" s="1215">
        <v>0</v>
      </c>
      <c r="I98" s="1215">
        <v>0</v>
      </c>
      <c r="J98" s="1215">
        <v>0</v>
      </c>
      <c r="K98" s="1215">
        <v>0</v>
      </c>
      <c r="L98" s="1215">
        <v>-0.25</v>
      </c>
      <c r="M98" s="1214">
        <v>-1.5</v>
      </c>
      <c r="N98"/>
      <c r="O98" s="1489"/>
    </row>
    <row r="99" spans="1:15" s="1057" customFormat="1">
      <c r="A99" s="1203"/>
      <c r="B99" s="1749"/>
      <c r="C99" s="1860" t="s">
        <v>52</v>
      </c>
      <c r="D99" s="1861"/>
      <c r="E99" s="1216">
        <v>0</v>
      </c>
      <c r="F99" s="1215">
        <v>0</v>
      </c>
      <c r="G99" s="1215">
        <v>-0.125</v>
      </c>
      <c r="H99" s="1215">
        <v>-0.125</v>
      </c>
      <c r="I99" s="1215">
        <v>-0.25</v>
      </c>
      <c r="J99" s="1215">
        <v>-0.25</v>
      </c>
      <c r="K99" s="1215">
        <v>-0.375</v>
      </c>
      <c r="L99" s="1215" t="s">
        <v>14</v>
      </c>
      <c r="M99" s="1214" t="s">
        <v>14</v>
      </c>
      <c r="N99"/>
      <c r="O99" s="1489"/>
    </row>
    <row r="100" spans="1:15" s="1057" customFormat="1">
      <c r="A100" s="1203"/>
      <c r="B100" s="1749"/>
      <c r="C100" s="1860" t="s">
        <v>53</v>
      </c>
      <c r="D100" s="1861"/>
      <c r="E100" s="1216">
        <v>-0.375</v>
      </c>
      <c r="F100" s="1215">
        <v>-0.375</v>
      </c>
      <c r="G100" s="1215">
        <v>-0.375</v>
      </c>
      <c r="H100" s="1215">
        <v>-0.375</v>
      </c>
      <c r="I100" s="1215">
        <v>-0.5</v>
      </c>
      <c r="J100" s="1215">
        <v>-0.75</v>
      </c>
      <c r="K100" s="1215">
        <v>-1</v>
      </c>
      <c r="L100" s="1215" t="s">
        <v>14</v>
      </c>
      <c r="M100" s="1214" t="s">
        <v>14</v>
      </c>
      <c r="N100"/>
      <c r="O100" s="1489"/>
    </row>
    <row r="101" spans="1:15" s="1057" customFormat="1">
      <c r="A101" s="1203"/>
      <c r="B101" s="1749"/>
      <c r="C101" s="1860" t="s">
        <v>54</v>
      </c>
      <c r="D101" s="1861"/>
      <c r="E101" s="1216">
        <v>-0.75</v>
      </c>
      <c r="F101" s="1215">
        <v>-0.75</v>
      </c>
      <c r="G101" s="1215">
        <v>-0.75</v>
      </c>
      <c r="H101" s="1215">
        <v>-1.25</v>
      </c>
      <c r="I101" s="1215">
        <v>-1.5</v>
      </c>
      <c r="J101" s="1215" t="s">
        <v>14</v>
      </c>
      <c r="K101" s="1215" t="s">
        <v>14</v>
      </c>
      <c r="L101" s="1215" t="s">
        <v>14</v>
      </c>
      <c r="M101" s="1214" t="s">
        <v>14</v>
      </c>
      <c r="N101"/>
      <c r="O101" s="1489"/>
    </row>
    <row r="102" spans="1:15" s="1057" customFormat="1" ht="15.75" thickBot="1">
      <c r="A102" s="1203"/>
      <c r="B102" s="1789"/>
      <c r="C102" s="1878" t="s">
        <v>55</v>
      </c>
      <c r="D102" s="1879"/>
      <c r="E102" s="1278">
        <v>-1.5</v>
      </c>
      <c r="F102" s="1277">
        <v>-1.5</v>
      </c>
      <c r="G102" s="1277">
        <v>-1.5</v>
      </c>
      <c r="H102" s="1277">
        <v>-1.5</v>
      </c>
      <c r="I102" s="1277">
        <v>-1.75</v>
      </c>
      <c r="J102" s="1277" t="s">
        <v>14</v>
      </c>
      <c r="K102" s="1277" t="s">
        <v>14</v>
      </c>
      <c r="L102" s="1277" t="s">
        <v>14</v>
      </c>
      <c r="M102" s="1276" t="s">
        <v>14</v>
      </c>
      <c r="N102"/>
      <c r="O102" s="1489"/>
    </row>
    <row r="103" spans="1:15" s="1057" customFormat="1">
      <c r="A103" s="1203"/>
      <c r="B103" s="1788" t="s">
        <v>56</v>
      </c>
      <c r="C103" s="1862" t="s">
        <v>57</v>
      </c>
      <c r="D103" s="1863"/>
      <c r="E103" s="1213">
        <v>0</v>
      </c>
      <c r="F103" s="1212">
        <v>0</v>
      </c>
      <c r="G103" s="1212">
        <v>0</v>
      </c>
      <c r="H103" s="1212">
        <v>0</v>
      </c>
      <c r="I103" s="1212">
        <v>0</v>
      </c>
      <c r="J103" s="1212">
        <v>0</v>
      </c>
      <c r="K103" s="1212">
        <v>0</v>
      </c>
      <c r="L103" s="1212">
        <v>0</v>
      </c>
      <c r="M103" s="1211">
        <v>0</v>
      </c>
      <c r="N103"/>
      <c r="O103" s="1489"/>
    </row>
    <row r="104" spans="1:15" s="1057" customFormat="1">
      <c r="A104" s="1203"/>
      <c r="B104" s="1749"/>
      <c r="C104" s="1860" t="s">
        <v>58</v>
      </c>
      <c r="D104" s="1861"/>
      <c r="E104" s="1216">
        <v>0</v>
      </c>
      <c r="F104" s="1215">
        <v>0</v>
      </c>
      <c r="G104" s="1215">
        <v>0</v>
      </c>
      <c r="H104" s="1215">
        <v>0</v>
      </c>
      <c r="I104" s="1215">
        <v>0</v>
      </c>
      <c r="J104" s="1215">
        <v>0</v>
      </c>
      <c r="K104" s="1215">
        <v>-0.125</v>
      </c>
      <c r="L104" s="1215">
        <v>-0.375</v>
      </c>
      <c r="M104" s="1214" t="s">
        <v>14</v>
      </c>
      <c r="N104"/>
      <c r="O104" s="1489"/>
    </row>
    <row r="105" spans="1:15" s="1057" customFormat="1" ht="15.75" thickBot="1">
      <c r="A105" s="1203"/>
      <c r="B105" s="1789"/>
      <c r="C105" s="1878" t="s">
        <v>59</v>
      </c>
      <c r="D105" s="1879"/>
      <c r="E105" s="1278">
        <v>-0.25</v>
      </c>
      <c r="F105" s="1277">
        <v>-0.25</v>
      </c>
      <c r="G105" s="1277">
        <v>-0.375</v>
      </c>
      <c r="H105" s="1277">
        <v>-0.5</v>
      </c>
      <c r="I105" s="1277">
        <v>-0.75</v>
      </c>
      <c r="J105" s="1277">
        <v>-0.875</v>
      </c>
      <c r="K105" s="1277">
        <v>-1.25</v>
      </c>
      <c r="L105" s="1277" t="s">
        <v>14</v>
      </c>
      <c r="M105" s="1276" t="s">
        <v>14</v>
      </c>
      <c r="N105"/>
      <c r="O105" s="1489"/>
    </row>
    <row r="106" spans="1:15" s="1057" customFormat="1">
      <c r="A106" s="1203"/>
      <c r="B106" s="1788" t="s">
        <v>60</v>
      </c>
      <c r="C106" s="1862" t="s">
        <v>29</v>
      </c>
      <c r="D106" s="1863"/>
      <c r="E106" s="1213">
        <v>0</v>
      </c>
      <c r="F106" s="1212">
        <v>0</v>
      </c>
      <c r="G106" s="1212">
        <v>0</v>
      </c>
      <c r="H106" s="1212">
        <v>-0.125</v>
      </c>
      <c r="I106" s="1212">
        <v>-0.25</v>
      </c>
      <c r="J106" s="1212">
        <v>-0.25</v>
      </c>
      <c r="K106" s="1212">
        <v>-0.25</v>
      </c>
      <c r="L106" s="1212">
        <v>-0.5</v>
      </c>
      <c r="M106" s="1211" t="s">
        <v>14</v>
      </c>
      <c r="N106"/>
      <c r="O106" s="1489"/>
    </row>
    <row r="107" spans="1:15" s="1057" customFormat="1" ht="15.75" thickBot="1">
      <c r="A107" s="1203"/>
      <c r="B107" s="1789"/>
      <c r="C107" s="1878" t="s">
        <v>61</v>
      </c>
      <c r="D107" s="1879"/>
      <c r="E107" s="1278">
        <v>0</v>
      </c>
      <c r="F107" s="1277">
        <v>0</v>
      </c>
      <c r="G107" s="1277">
        <v>0</v>
      </c>
      <c r="H107" s="1277">
        <v>-0.125</v>
      </c>
      <c r="I107" s="1277">
        <v>-0.25</v>
      </c>
      <c r="J107" s="1277">
        <v>-0.25</v>
      </c>
      <c r="K107" s="1277">
        <v>-0.25</v>
      </c>
      <c r="L107" s="1277">
        <v>-1.625</v>
      </c>
      <c r="M107" s="1276" t="s">
        <v>14</v>
      </c>
      <c r="N107"/>
      <c r="O107" s="1489"/>
    </row>
    <row r="108" spans="1:15" s="1057" customFormat="1">
      <c r="A108" s="1203"/>
      <c r="B108" s="1788" t="s">
        <v>62</v>
      </c>
      <c r="C108" s="1862" t="s">
        <v>63</v>
      </c>
      <c r="D108" s="1863"/>
      <c r="E108" s="1213">
        <v>-0.125</v>
      </c>
      <c r="F108" s="1212">
        <v>-0.125</v>
      </c>
      <c r="G108" s="1212">
        <v>-0.125</v>
      </c>
      <c r="H108" s="1212">
        <v>-0.125</v>
      </c>
      <c r="I108" s="1212">
        <v>-0.25</v>
      </c>
      <c r="J108" s="1212">
        <v>-0.375</v>
      </c>
      <c r="K108" s="1212">
        <v>-0.5</v>
      </c>
      <c r="L108" s="1212">
        <v>-0.75</v>
      </c>
      <c r="M108" s="1211">
        <v>-1.25</v>
      </c>
      <c r="N108"/>
      <c r="O108" s="1489"/>
    </row>
    <row r="109" spans="1:15" s="1057" customFormat="1">
      <c r="A109" s="1203"/>
      <c r="B109" s="1749"/>
      <c r="C109" s="1860" t="s">
        <v>194</v>
      </c>
      <c r="D109" s="1861"/>
      <c r="E109" s="1216">
        <v>-1.375</v>
      </c>
      <c r="F109" s="1215">
        <v>-1.375</v>
      </c>
      <c r="G109" s="1215">
        <v>-1.375</v>
      </c>
      <c r="H109" s="1215">
        <v>-1.375</v>
      </c>
      <c r="I109" s="1215">
        <v>-1.375</v>
      </c>
      <c r="J109" s="1215">
        <v>-1.375</v>
      </c>
      <c r="K109" s="1215">
        <v>-1.375</v>
      </c>
      <c r="L109" s="1215">
        <v>-1.375</v>
      </c>
      <c r="M109" s="1214" t="s">
        <v>14</v>
      </c>
      <c r="N109"/>
      <c r="O109" s="1489"/>
    </row>
    <row r="110" spans="1:15" s="1057" customFormat="1" ht="15.75" thickBot="1">
      <c r="A110" s="1203"/>
      <c r="B110" s="1789"/>
      <c r="C110" s="1878" t="s">
        <v>64</v>
      </c>
      <c r="D110" s="1879"/>
      <c r="E110" s="1278">
        <v>-0.25</v>
      </c>
      <c r="F110" s="1277">
        <v>-0.25</v>
      </c>
      <c r="G110" s="1277">
        <v>-0.25</v>
      </c>
      <c r="H110" s="1277">
        <v>-0.25</v>
      </c>
      <c r="I110" s="1277">
        <v>-0.375</v>
      </c>
      <c r="J110" s="1277">
        <v>-0.375</v>
      </c>
      <c r="K110" s="1277">
        <v>-0.5</v>
      </c>
      <c r="L110" s="1277">
        <v>-0.5</v>
      </c>
      <c r="M110" s="1276">
        <v>-1</v>
      </c>
      <c r="N110"/>
      <c r="O110" s="1489"/>
    </row>
    <row r="111" spans="1:15" s="1057" customFormat="1" ht="15.75" thickBot="1">
      <c r="A111" s="1203"/>
      <c r="B111" s="1426" t="s">
        <v>65</v>
      </c>
      <c r="C111" s="1856" t="s">
        <v>214</v>
      </c>
      <c r="D111" s="1857"/>
      <c r="E111" s="1338">
        <v>-0.25</v>
      </c>
      <c r="F111" s="1339">
        <v>-0.25</v>
      </c>
      <c r="G111" s="1339">
        <v>-0.25</v>
      </c>
      <c r="H111" s="1339">
        <v>-0.25</v>
      </c>
      <c r="I111" s="1339">
        <v>-0.25</v>
      </c>
      <c r="J111" s="1339">
        <v>-0.25</v>
      </c>
      <c r="K111" s="1339">
        <v>-0.25</v>
      </c>
      <c r="L111" s="1339">
        <v>-0.25</v>
      </c>
      <c r="M111" s="1340">
        <v>-0.25</v>
      </c>
      <c r="N111"/>
      <c r="O111" s="1489"/>
    </row>
    <row r="112" spans="1:15" s="1057" customFormat="1">
      <c r="A112" s="1203"/>
      <c r="B112" s="1788" t="s">
        <v>141</v>
      </c>
      <c r="C112" s="1862" t="s">
        <v>66</v>
      </c>
      <c r="D112" s="1863"/>
      <c r="E112" s="1213">
        <v>-0.25</v>
      </c>
      <c r="F112" s="1212">
        <v>-0.25</v>
      </c>
      <c r="G112" s="1212">
        <v>-0.25</v>
      </c>
      <c r="H112" s="1212">
        <v>-0.375</v>
      </c>
      <c r="I112" s="1212">
        <v>-0.5</v>
      </c>
      <c r="J112" s="1212">
        <v>-0.5</v>
      </c>
      <c r="K112" s="1212">
        <v>-0.75</v>
      </c>
      <c r="L112" s="1212">
        <v>-1</v>
      </c>
      <c r="M112" s="1211">
        <v>-1.25</v>
      </c>
      <c r="N112"/>
      <c r="O112" s="1489"/>
    </row>
    <row r="113" spans="1:15" s="1057" customFormat="1" ht="15.75" thickBot="1">
      <c r="A113" s="1203"/>
      <c r="B113" s="1789"/>
      <c r="C113" s="1878" t="s">
        <v>67</v>
      </c>
      <c r="D113" s="1879"/>
      <c r="E113" s="1278">
        <v>-0.25</v>
      </c>
      <c r="F113" s="1277">
        <v>-0.25</v>
      </c>
      <c r="G113" s="1277">
        <v>-0.25</v>
      </c>
      <c r="H113" s="1277">
        <v>-0.375</v>
      </c>
      <c r="I113" s="1277">
        <v>-0.5</v>
      </c>
      <c r="J113" s="1277">
        <v>-0.5</v>
      </c>
      <c r="K113" s="1277">
        <v>-0.75</v>
      </c>
      <c r="L113" s="1277" t="s">
        <v>14</v>
      </c>
      <c r="M113" s="1276" t="s">
        <v>14</v>
      </c>
      <c r="N113"/>
      <c r="O113" s="1489"/>
    </row>
    <row r="114" spans="1:15" s="1057" customFormat="1" ht="15.75" thickBot="1">
      <c r="A114" s="1203"/>
      <c r="B114" s="1315" t="s">
        <v>68</v>
      </c>
      <c r="C114" s="1882" t="s">
        <v>69</v>
      </c>
      <c r="D114" s="1881"/>
      <c r="E114" s="1209">
        <v>-0.125</v>
      </c>
      <c r="F114" s="1208">
        <v>-0.125</v>
      </c>
      <c r="G114" s="1208">
        <v>-0.125</v>
      </c>
      <c r="H114" s="1208">
        <v>-0.125</v>
      </c>
      <c r="I114" s="1208">
        <v>-0.125</v>
      </c>
      <c r="J114" s="1208">
        <v>-0.125</v>
      </c>
      <c r="K114" s="1208">
        <v>-0.125</v>
      </c>
      <c r="L114" s="1208" t="s">
        <v>14</v>
      </c>
      <c r="M114" s="1207" t="s">
        <v>14</v>
      </c>
      <c r="N114"/>
      <c r="O114" s="1489"/>
    </row>
    <row r="115" spans="1:15" s="1057" customFormat="1" ht="15.75" thickBot="1">
      <c r="A115" s="1203"/>
      <c r="B115" s="1314" t="s">
        <v>138</v>
      </c>
      <c r="C115" s="1880" t="s">
        <v>504</v>
      </c>
      <c r="D115" s="1881"/>
      <c r="E115" s="1209">
        <v>0</v>
      </c>
      <c r="F115" s="1208">
        <v>0</v>
      </c>
      <c r="G115" s="1208">
        <v>0</v>
      </c>
      <c r="H115" s="1208">
        <v>0</v>
      </c>
      <c r="I115" s="1208">
        <v>0</v>
      </c>
      <c r="J115" s="1208">
        <v>0</v>
      </c>
      <c r="K115" s="1208">
        <v>0</v>
      </c>
      <c r="L115" s="1208">
        <v>-0.25</v>
      </c>
      <c r="M115" s="1207">
        <v>-0.25</v>
      </c>
      <c r="N115"/>
      <c r="O115" s="1489"/>
    </row>
    <row r="116" spans="1:15" s="1057" customFormat="1">
      <c r="A116" s="1203"/>
      <c r="N116"/>
      <c r="O116" s="1489"/>
    </row>
    <row r="117" spans="1:15" s="1057" customFormat="1" ht="15" customHeight="1">
      <c r="A117" s="1203"/>
      <c r="N117"/>
      <c r="O117" s="1489"/>
    </row>
    <row r="118" spans="1:15" s="1057" customFormat="1" ht="15" customHeight="1">
      <c r="A118" s="1203"/>
      <c r="N118"/>
      <c r="O118" s="1489"/>
    </row>
    <row r="119" spans="1:15" s="1057" customFormat="1" ht="15" customHeight="1">
      <c r="A119" s="1203"/>
      <c r="N119"/>
      <c r="O119" s="1489"/>
    </row>
    <row r="120" spans="1:15" s="1057" customFormat="1" ht="15" customHeight="1">
      <c r="A120" s="1203"/>
      <c r="N120"/>
      <c r="O120" s="1489"/>
    </row>
    <row r="121" spans="1:15" s="1057" customFormat="1" ht="15" customHeight="1">
      <c r="A121" s="1203"/>
      <c r="N121"/>
      <c r="O121" s="1489"/>
    </row>
    <row r="122" spans="1:15" s="1057" customFormat="1" ht="15" customHeight="1">
      <c r="A122" s="1203"/>
      <c r="N122"/>
      <c r="O122" s="1489"/>
    </row>
    <row r="123" spans="1:15" s="1057" customFormat="1">
      <c r="A123" s="1203"/>
      <c r="N123"/>
      <c r="O123" s="1489"/>
    </row>
    <row r="124" spans="1:15" s="1057" customFormat="1">
      <c r="A124" s="1203"/>
      <c r="N124"/>
      <c r="O124" s="1489"/>
    </row>
    <row r="125" spans="1:15" s="1057" customFormat="1">
      <c r="A125" s="1203"/>
      <c r="O125" s="1489"/>
    </row>
    <row r="126" spans="1:15" s="1057" customFormat="1">
      <c r="A126" s="1203"/>
      <c r="G126" s="1202"/>
      <c r="H126" s="1201"/>
      <c r="O126" s="1489"/>
    </row>
    <row r="127" spans="1:15" s="1057" customFormat="1" ht="15" customHeight="1">
      <c r="A127" s="1063"/>
      <c r="B127" s="1588"/>
      <c r="C127" s="1588"/>
      <c r="D127" s="1588"/>
      <c r="E127" s="1588"/>
      <c r="F127" s="1588"/>
      <c r="G127" s="1588"/>
      <c r="H127" s="1588"/>
      <c r="I127" s="1588"/>
      <c r="J127" s="1588"/>
      <c r="K127" s="1588"/>
      <c r="L127" s="1588"/>
      <c r="M127" s="1588"/>
      <c r="N127" s="1583"/>
      <c r="O127" s="1489"/>
    </row>
    <row r="128" spans="1:15" s="1057" customFormat="1">
      <c r="A128" s="1063"/>
      <c r="B128" s="1588"/>
      <c r="C128" s="1588"/>
      <c r="D128" s="1588"/>
      <c r="E128" s="1588"/>
      <c r="F128" s="1588"/>
      <c r="G128" s="1588"/>
      <c r="H128" s="1588"/>
      <c r="I128" s="1588"/>
      <c r="J128" s="1588"/>
      <c r="K128" s="1588"/>
      <c r="L128" s="1588"/>
      <c r="M128" s="1588"/>
      <c r="N128" s="1583"/>
      <c r="O128" s="1489"/>
    </row>
    <row r="129" spans="1:15" s="1057" customFormat="1">
      <c r="A129" s="1063"/>
      <c r="B129" s="1588"/>
      <c r="C129" s="1588"/>
      <c r="D129" s="1588"/>
      <c r="E129" s="1588"/>
      <c r="F129" s="1588"/>
      <c r="G129" s="1588"/>
      <c r="H129" s="1588"/>
      <c r="I129" s="1588"/>
      <c r="J129" s="1588"/>
      <c r="K129" s="1588"/>
      <c r="L129" s="1588"/>
      <c r="M129" s="1588"/>
      <c r="N129" s="1583"/>
      <c r="O129" s="1489"/>
    </row>
    <row r="130" spans="1:15" s="1057" customFormat="1" ht="15.75" thickBot="1">
      <c r="A130" s="1060"/>
      <c r="B130" s="1587"/>
      <c r="C130" s="1587"/>
      <c r="D130" s="1587"/>
      <c r="E130" s="1587"/>
      <c r="F130" s="1587"/>
      <c r="G130" s="1587"/>
      <c r="H130" s="1587"/>
      <c r="I130" s="1587"/>
      <c r="J130" s="1587"/>
      <c r="K130" s="1587"/>
      <c r="L130" s="1587"/>
      <c r="M130" s="1587"/>
      <c r="N130" s="1513"/>
      <c r="O130" s="1629"/>
    </row>
  </sheetData>
  <mergeCells count="99"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  <mergeCell ref="E83:M83"/>
    <mergeCell ref="E53:M53"/>
    <mergeCell ref="L33:N34"/>
    <mergeCell ref="L35:N36"/>
    <mergeCell ref="L37:N38"/>
    <mergeCell ref="L39:N40"/>
    <mergeCell ref="G43:H43"/>
    <mergeCell ref="B44:E45"/>
    <mergeCell ref="E47:H47"/>
    <mergeCell ref="E49:H51"/>
    <mergeCell ref="C67:D67"/>
    <mergeCell ref="C61:D61"/>
    <mergeCell ref="E66:M66"/>
    <mergeCell ref="C63:D63"/>
    <mergeCell ref="B55:B63"/>
    <mergeCell ref="C73:D73"/>
    <mergeCell ref="B112:B113"/>
    <mergeCell ref="C105:D105"/>
    <mergeCell ref="C104:D104"/>
    <mergeCell ref="C103:D103"/>
    <mergeCell ref="C102:D102"/>
    <mergeCell ref="B103:B105"/>
    <mergeCell ref="B106:B107"/>
    <mergeCell ref="C115:D115"/>
    <mergeCell ref="C114:D114"/>
    <mergeCell ref="C113:D113"/>
    <mergeCell ref="C112:D112"/>
    <mergeCell ref="C111:D111"/>
    <mergeCell ref="C97:D97"/>
    <mergeCell ref="C96:D96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C99:D99"/>
    <mergeCell ref="C98:D98"/>
    <mergeCell ref="C95:D95"/>
    <mergeCell ref="G13:G14"/>
    <mergeCell ref="H13:J13"/>
    <mergeCell ref="A10:O11"/>
    <mergeCell ref="C59:D59"/>
    <mergeCell ref="L14:M14"/>
    <mergeCell ref="B41:E41"/>
    <mergeCell ref="C55:D55"/>
    <mergeCell ref="G41:J41"/>
    <mergeCell ref="B42:C42"/>
    <mergeCell ref="G44:J45"/>
    <mergeCell ref="G42:H42"/>
    <mergeCell ref="B13:B14"/>
    <mergeCell ref="C13:E13"/>
    <mergeCell ref="B43:C43"/>
    <mergeCell ref="C58:D58"/>
    <mergeCell ref="C56:D56"/>
    <mergeCell ref="C57:D57"/>
    <mergeCell ref="C77:D77"/>
    <mergeCell ref="C74:D74"/>
    <mergeCell ref="C75:D75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B77:B81"/>
    <mergeCell ref="C81:D81"/>
    <mergeCell ref="C80:D80"/>
    <mergeCell ref="B91:B92"/>
    <mergeCell ref="C92:D92"/>
    <mergeCell ref="C94:D94"/>
    <mergeCell ref="C93:D93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margins!$W$184:$W$186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margins!$W$181:$W$182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margins!$W$188:$W$194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margins!$W$199:$W$201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margins!$W$196:$W$197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margins!$W$177:$W$179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margins!$W$214:$W$215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margins!$W$211:$W$212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margins!$W$207:$W$209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margins!$W$110:$W$120</xm:f>
          </x14:formula1>
          <xm:sqref>R26</xm:sqref>
        </x14:dataValidation>
        <x14:dataValidation type="list" allowBlank="1" showInputMessage="1" showErrorMessage="1" xr:uid="{EA554239-95F1-43F9-9037-3C6155218DEA}">
          <x14:formula1>
            <xm:f>margins!$W$203:$W$205</xm:f>
          </x14:formula1>
          <xm:sqref>R36</xm:sqref>
        </x14:dataValidation>
        <x14:dataValidation type="list" allowBlank="1" showInputMessage="1" showErrorMessage="1" xr:uid="{53104E81-7762-43AE-902D-5638E2723948}">
          <x14:formula1>
            <xm:f>margins!$W$122:$W$124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margins!$W$131:$W$134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margins!$W$126:$W$129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margins!$W$141:$W$144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margins!$W$160:$W$161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margins!$W$153:$W$158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margins!$W$146:$W$151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margins!$W$136:$W$139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margins!$W$166:$W$175</xm:f>
          </x14:formula1>
          <xm:sqref>R18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0fb90277b97015141ca8eab8165b039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b9a7ca99154f6d2e91c7f76f9147864c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03B937-86D7-4342-BAA3-9A4F01EE1AED}"/>
</file>

<file path=customXml/itemProps2.xml><?xml version="1.0" encoding="utf-8"?>
<ds:datastoreItem xmlns:ds="http://schemas.openxmlformats.org/officeDocument/2006/customXml" ds:itemID="{4D409AA1-C503-4DB3-AE17-ED11219663C4}"/>
</file>

<file path=customXml/itemProps3.xml><?xml version="1.0" encoding="utf-8"?>
<ds:datastoreItem xmlns:ds="http://schemas.openxmlformats.org/officeDocument/2006/customXml" ds:itemID="{0469EE55-A542-48BA-A286-3BB8C16138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</vt:lpstr>
      <vt:lpstr>2ndOOTest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Taren Desai</cp:lastModifiedBy>
  <cp:lastPrinted>2025-11-17T17:35:21Z</cp:lastPrinted>
  <dcterms:created xsi:type="dcterms:W3CDTF">2022-07-12T22:36:37Z</dcterms:created>
  <dcterms:modified xsi:type="dcterms:W3CDTF">2025-11-17T17:35:34Z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